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Oriente" sheetId="26" r:id="rId3"/>
    <sheet name="Amazonas" sheetId="27" r:id="rId4"/>
    <sheet name="Loreto" sheetId="32" r:id="rId5"/>
    <sheet name="San Martín" sheetId="33" r:id="rId6"/>
    <sheet name="Ucayali" sheetId="34" r:id="rId7"/>
    <sheet name="Cuadro" sheetId="41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F39" i="32" l="1"/>
  <c r="L31" i="26" l="1"/>
  <c r="N31" i="26"/>
  <c r="O79" i="26"/>
  <c r="O83" i="26"/>
  <c r="O73" i="26"/>
  <c r="P73" i="26"/>
  <c r="K15" i="26" l="1"/>
  <c r="K14" i="26"/>
  <c r="K13" i="26"/>
  <c r="K12" i="26"/>
  <c r="I15" i="26"/>
  <c r="I14" i="26"/>
  <c r="I13" i="26"/>
  <c r="I12" i="26"/>
  <c r="G15" i="26"/>
  <c r="G14" i="26"/>
  <c r="G13" i="26"/>
  <c r="G12" i="26"/>
  <c r="G47" i="27"/>
  <c r="G74" i="26" s="1"/>
  <c r="M74" i="26"/>
  <c r="M83" i="26"/>
  <c r="M82" i="26"/>
  <c r="M81" i="26"/>
  <c r="M80" i="26"/>
  <c r="M79" i="26"/>
  <c r="M78" i="26"/>
  <c r="K83" i="26"/>
  <c r="K82" i="26"/>
  <c r="K81" i="26"/>
  <c r="K80" i="26"/>
  <c r="K79" i="26"/>
  <c r="K78" i="26"/>
  <c r="K74" i="26"/>
  <c r="E53" i="27"/>
  <c r="E47" i="27"/>
  <c r="E74" i="26" s="1"/>
  <c r="G83" i="26"/>
  <c r="G82" i="26"/>
  <c r="G81" i="26"/>
  <c r="G80" i="26"/>
  <c r="G79" i="26"/>
  <c r="G78" i="26"/>
  <c r="E83" i="26"/>
  <c r="E82" i="26"/>
  <c r="E81" i="26"/>
  <c r="E80" i="26"/>
  <c r="E79" i="26"/>
  <c r="E78" i="26"/>
  <c r="E66" i="26"/>
  <c r="E65" i="26"/>
  <c r="E64" i="26"/>
  <c r="E63" i="26"/>
  <c r="E62" i="26"/>
  <c r="E61" i="26"/>
  <c r="E60" i="26"/>
  <c r="E59" i="26"/>
  <c r="E58" i="26"/>
  <c r="D66" i="26"/>
  <c r="D65" i="26"/>
  <c r="D64" i="26"/>
  <c r="D63" i="26"/>
  <c r="D62" i="26"/>
  <c r="D61" i="26"/>
  <c r="D60" i="26"/>
  <c r="D59" i="26"/>
  <c r="D58" i="26"/>
  <c r="K47" i="26" l="1"/>
  <c r="K46" i="26"/>
  <c r="K45" i="26"/>
  <c r="K44" i="26"/>
  <c r="K43" i="26"/>
  <c r="K42" i="26"/>
  <c r="K41" i="26"/>
  <c r="K40" i="26"/>
  <c r="K39" i="26"/>
  <c r="J47" i="26"/>
  <c r="J46" i="26"/>
  <c r="J45" i="26"/>
  <c r="J44" i="26"/>
  <c r="J43" i="26"/>
  <c r="J42" i="26"/>
  <c r="J41" i="26"/>
  <c r="J40" i="26"/>
  <c r="J39" i="26"/>
  <c r="F42" i="26"/>
  <c r="F41" i="26"/>
  <c r="F40" i="26"/>
  <c r="F39" i="26"/>
  <c r="D39" i="26"/>
  <c r="D42" i="26"/>
  <c r="D41" i="26"/>
  <c r="D40" i="26"/>
  <c r="J27" i="26"/>
  <c r="G42" i="26"/>
  <c r="G41" i="26"/>
  <c r="G40" i="26"/>
  <c r="G39" i="26"/>
  <c r="E42" i="26"/>
  <c r="E41" i="26"/>
  <c r="E40" i="26"/>
  <c r="E39" i="26"/>
  <c r="F43" i="26" l="1"/>
  <c r="J30" i="26"/>
  <c r="I30" i="26"/>
  <c r="J29" i="26"/>
  <c r="G43" i="26" s="1"/>
  <c r="I29" i="26"/>
  <c r="J28" i="26"/>
  <c r="I28" i="26"/>
  <c r="I27" i="26"/>
  <c r="J26" i="26"/>
  <c r="I26" i="26"/>
  <c r="J25" i="26"/>
  <c r="I25" i="26"/>
  <c r="J24" i="26"/>
  <c r="I24" i="26"/>
  <c r="J23" i="26"/>
  <c r="I23" i="26"/>
  <c r="J22" i="26"/>
  <c r="I22" i="26"/>
  <c r="G30" i="26"/>
  <c r="G29" i="26"/>
  <c r="G28" i="26"/>
  <c r="G27" i="26"/>
  <c r="G26" i="26"/>
  <c r="G25" i="26"/>
  <c r="G24" i="26"/>
  <c r="G23" i="26"/>
  <c r="G22" i="26"/>
  <c r="F30" i="26"/>
  <c r="F29" i="26"/>
  <c r="F28" i="26"/>
  <c r="F27" i="26"/>
  <c r="F26" i="26"/>
  <c r="F25" i="26"/>
  <c r="F24" i="26"/>
  <c r="F23" i="26"/>
  <c r="F22" i="26"/>
  <c r="H12" i="26"/>
  <c r="M47" i="32"/>
  <c r="M47" i="27"/>
  <c r="D43" i="26" l="1"/>
  <c r="E43" i="26" s="1"/>
  <c r="M57" i="34" l="1"/>
  <c r="N52" i="34" s="1"/>
  <c r="K57" i="34"/>
  <c r="L56" i="34" s="1"/>
  <c r="G57" i="34"/>
  <c r="H55" i="34" s="1"/>
  <c r="E57" i="34"/>
  <c r="F54" i="34" s="1"/>
  <c r="N56" i="34"/>
  <c r="F56" i="34"/>
  <c r="N55" i="34"/>
  <c r="F55" i="34"/>
  <c r="N54" i="34"/>
  <c r="N53" i="34"/>
  <c r="F53" i="34"/>
  <c r="F52" i="34"/>
  <c r="N51" i="34"/>
  <c r="H51" i="34"/>
  <c r="F51" i="34"/>
  <c r="M46" i="34"/>
  <c r="M48" i="34" s="1"/>
  <c r="G46" i="34"/>
  <c r="G48" i="34" s="1"/>
  <c r="E46" i="34"/>
  <c r="E48" i="34" s="1"/>
  <c r="F47" i="34" s="1"/>
  <c r="J40" i="34"/>
  <c r="J39" i="34"/>
  <c r="J38" i="34"/>
  <c r="J37" i="34"/>
  <c r="K38" i="34" s="1"/>
  <c r="J36" i="34"/>
  <c r="J35" i="34"/>
  <c r="K36" i="34" s="1"/>
  <c r="J34" i="34"/>
  <c r="J33" i="34"/>
  <c r="K34" i="34" s="1"/>
  <c r="J32" i="34"/>
  <c r="P22" i="34"/>
  <c r="N21" i="34"/>
  <c r="M21" i="34"/>
  <c r="K21" i="34"/>
  <c r="J21" i="34"/>
  <c r="I21" i="34"/>
  <c r="O21" i="34" s="1"/>
  <c r="F21" i="34"/>
  <c r="O20" i="34"/>
  <c r="N20" i="34"/>
  <c r="M20" i="34"/>
  <c r="K20" i="34"/>
  <c r="J20" i="34"/>
  <c r="I20" i="34"/>
  <c r="F20" i="34"/>
  <c r="N19" i="34"/>
  <c r="M19" i="34"/>
  <c r="K19" i="34"/>
  <c r="J19" i="34"/>
  <c r="I19" i="34"/>
  <c r="L19" i="34" s="1"/>
  <c r="F19" i="34"/>
  <c r="N18" i="34"/>
  <c r="M18" i="34"/>
  <c r="K18" i="34"/>
  <c r="J18" i="34"/>
  <c r="I18" i="34"/>
  <c r="O18" i="34" s="1"/>
  <c r="F18" i="34"/>
  <c r="O17" i="34"/>
  <c r="N17" i="34"/>
  <c r="M17" i="34"/>
  <c r="K17" i="34"/>
  <c r="J17" i="34"/>
  <c r="I17" i="34"/>
  <c r="L17" i="34" s="1"/>
  <c r="F17" i="34"/>
  <c r="N16" i="34"/>
  <c r="M16" i="34"/>
  <c r="K16" i="34"/>
  <c r="J16" i="34"/>
  <c r="I16" i="34"/>
  <c r="O16" i="34" s="1"/>
  <c r="F16" i="34"/>
  <c r="N15" i="34"/>
  <c r="M15" i="34"/>
  <c r="K15" i="34"/>
  <c r="J15" i="34"/>
  <c r="I15" i="34"/>
  <c r="L15" i="34" s="1"/>
  <c r="F15" i="34"/>
  <c r="N14" i="34"/>
  <c r="M14" i="34"/>
  <c r="K14" i="34"/>
  <c r="J14" i="34"/>
  <c r="I14" i="34"/>
  <c r="O14" i="34" s="1"/>
  <c r="F14" i="34"/>
  <c r="N13" i="34"/>
  <c r="M13" i="34"/>
  <c r="K13" i="34"/>
  <c r="J13" i="34"/>
  <c r="I13" i="34"/>
  <c r="L13" i="34" s="1"/>
  <c r="F13" i="34"/>
  <c r="M57" i="33"/>
  <c r="N54" i="33" s="1"/>
  <c r="K57" i="33"/>
  <c r="L56" i="33" s="1"/>
  <c r="G57" i="33"/>
  <c r="H55" i="33" s="1"/>
  <c r="E57" i="33"/>
  <c r="F56" i="33" s="1"/>
  <c r="H56" i="33"/>
  <c r="H54" i="33"/>
  <c r="H52" i="33"/>
  <c r="M46" i="33"/>
  <c r="M48" i="33" s="1"/>
  <c r="G46" i="33"/>
  <c r="G48" i="33" s="1"/>
  <c r="E46" i="33"/>
  <c r="E48" i="33" s="1"/>
  <c r="F47" i="33" s="1"/>
  <c r="J40" i="33"/>
  <c r="J39" i="33"/>
  <c r="K40" i="33" s="1"/>
  <c r="J38" i="33"/>
  <c r="J37" i="33"/>
  <c r="K38" i="33" s="1"/>
  <c r="J36" i="33"/>
  <c r="J35" i="33"/>
  <c r="K36" i="33" s="1"/>
  <c r="J34" i="33"/>
  <c r="J33" i="33"/>
  <c r="K34" i="33" s="1"/>
  <c r="J32" i="33"/>
  <c r="P22" i="33"/>
  <c r="N21" i="33"/>
  <c r="M21" i="33"/>
  <c r="K21" i="33"/>
  <c r="J21" i="33"/>
  <c r="I21" i="33"/>
  <c r="O21" i="33" s="1"/>
  <c r="F21" i="33"/>
  <c r="N20" i="33"/>
  <c r="M20" i="33"/>
  <c r="K20" i="33"/>
  <c r="J20" i="33"/>
  <c r="I20" i="33"/>
  <c r="F20" i="33"/>
  <c r="N19" i="33"/>
  <c r="M19" i="33"/>
  <c r="K19" i="33"/>
  <c r="J19" i="33"/>
  <c r="I19" i="33"/>
  <c r="O19" i="33" s="1"/>
  <c r="F19" i="33"/>
  <c r="N18" i="33"/>
  <c r="M18" i="33"/>
  <c r="K18" i="33"/>
  <c r="J18" i="33"/>
  <c r="I18" i="33"/>
  <c r="O18" i="33" s="1"/>
  <c r="F18" i="33"/>
  <c r="N17" i="33"/>
  <c r="M17" i="33"/>
  <c r="K17" i="33"/>
  <c r="J17" i="33"/>
  <c r="I17" i="33"/>
  <c r="O17" i="33" s="1"/>
  <c r="F17" i="33"/>
  <c r="N16" i="33"/>
  <c r="M16" i="33"/>
  <c r="K16" i="33"/>
  <c r="J16" i="33"/>
  <c r="I16" i="33"/>
  <c r="O16" i="33" s="1"/>
  <c r="F16" i="33"/>
  <c r="N15" i="33"/>
  <c r="M15" i="33"/>
  <c r="K15" i="33"/>
  <c r="J15" i="33"/>
  <c r="I15" i="33"/>
  <c r="O15" i="33" s="1"/>
  <c r="F15" i="33"/>
  <c r="N14" i="33"/>
  <c r="M14" i="33"/>
  <c r="K14" i="33"/>
  <c r="J14" i="33"/>
  <c r="I14" i="33"/>
  <c r="O14" i="33" s="1"/>
  <c r="F14" i="33"/>
  <c r="N13" i="33"/>
  <c r="M13" i="33"/>
  <c r="K13" i="33"/>
  <c r="J13" i="33"/>
  <c r="I13" i="33"/>
  <c r="O13" i="33" s="1"/>
  <c r="F13" i="33"/>
  <c r="M57" i="32"/>
  <c r="N56" i="32" s="1"/>
  <c r="K57" i="32"/>
  <c r="L54" i="32" s="1"/>
  <c r="G57" i="32"/>
  <c r="H56" i="32" s="1"/>
  <c r="E57" i="32"/>
  <c r="F56" i="32" s="1"/>
  <c r="M46" i="32"/>
  <c r="J40" i="32"/>
  <c r="J39" i="32"/>
  <c r="J38" i="32"/>
  <c r="J37" i="32"/>
  <c r="K37" i="32" s="1"/>
  <c r="J36" i="32"/>
  <c r="K36" i="32" s="1"/>
  <c r="J35" i="32"/>
  <c r="J34" i="32"/>
  <c r="J33" i="32"/>
  <c r="K33" i="32" s="1"/>
  <c r="J32" i="32"/>
  <c r="P22" i="32"/>
  <c r="N21" i="32"/>
  <c r="M21" i="32"/>
  <c r="K21" i="32"/>
  <c r="J21" i="32"/>
  <c r="I21" i="32"/>
  <c r="O21" i="32" s="1"/>
  <c r="F21" i="32"/>
  <c r="N20" i="32"/>
  <c r="M20" i="32"/>
  <c r="K20" i="32"/>
  <c r="J20" i="32"/>
  <c r="I20" i="32"/>
  <c r="O20" i="32" s="1"/>
  <c r="F20" i="32"/>
  <c r="N19" i="32"/>
  <c r="M19" i="32"/>
  <c r="K19" i="32"/>
  <c r="J19" i="32"/>
  <c r="I19" i="32"/>
  <c r="O19" i="32" s="1"/>
  <c r="F19" i="32"/>
  <c r="N18" i="32"/>
  <c r="M18" i="32"/>
  <c r="K18" i="32"/>
  <c r="J18" i="32"/>
  <c r="I18" i="32"/>
  <c r="O18" i="32" s="1"/>
  <c r="F18" i="32"/>
  <c r="L18" i="32" s="1"/>
  <c r="N17" i="32"/>
  <c r="M17" i="32"/>
  <c r="K17" i="32"/>
  <c r="J17" i="32"/>
  <c r="I17" i="32"/>
  <c r="O17" i="32" s="1"/>
  <c r="F17" i="32"/>
  <c r="L17" i="32" s="1"/>
  <c r="N16" i="32"/>
  <c r="M16" i="32"/>
  <c r="K16" i="32"/>
  <c r="J16" i="32"/>
  <c r="I16" i="32"/>
  <c r="O16" i="32" s="1"/>
  <c r="F16" i="32"/>
  <c r="L16" i="32" s="1"/>
  <c r="N15" i="32"/>
  <c r="M15" i="32"/>
  <c r="K15" i="32"/>
  <c r="J15" i="32"/>
  <c r="I15" i="32"/>
  <c r="O15" i="32" s="1"/>
  <c r="F15" i="32"/>
  <c r="L15" i="32" s="1"/>
  <c r="N14" i="32"/>
  <c r="M14" i="32"/>
  <c r="K14" i="32"/>
  <c r="J14" i="32"/>
  <c r="I14" i="32"/>
  <c r="O14" i="32" s="1"/>
  <c r="F14" i="32"/>
  <c r="L14" i="32" s="1"/>
  <c r="N13" i="32"/>
  <c r="M13" i="32"/>
  <c r="K13" i="32"/>
  <c r="J13" i="32"/>
  <c r="I13" i="32"/>
  <c r="O13" i="32" s="1"/>
  <c r="F13" i="32"/>
  <c r="L13" i="32" s="1"/>
  <c r="L52" i="32" l="1"/>
  <c r="L56" i="32"/>
  <c r="L51" i="32"/>
  <c r="L55" i="32"/>
  <c r="K46" i="32"/>
  <c r="K48" i="32" s="1"/>
  <c r="L47" i="32" s="1"/>
  <c r="L53" i="32"/>
  <c r="N57" i="34"/>
  <c r="N53" i="33"/>
  <c r="N51" i="33"/>
  <c r="N56" i="33"/>
  <c r="N52" i="33"/>
  <c r="N55" i="33"/>
  <c r="K46" i="34"/>
  <c r="K46" i="33"/>
  <c r="K48" i="33" s="1"/>
  <c r="L47" i="33" s="1"/>
  <c r="H53" i="34"/>
  <c r="H56" i="34"/>
  <c r="H54" i="34"/>
  <c r="H52" i="34"/>
  <c r="H57" i="34" s="1"/>
  <c r="K40" i="34"/>
  <c r="G46" i="32"/>
  <c r="G48" i="32" s="1"/>
  <c r="H47" i="32" s="1"/>
  <c r="H51" i="33"/>
  <c r="H57" i="33" s="1"/>
  <c r="H53" i="33"/>
  <c r="F57" i="34"/>
  <c r="F52" i="33"/>
  <c r="F51" i="33"/>
  <c r="F54" i="33"/>
  <c r="F53" i="33"/>
  <c r="F57" i="33" s="1"/>
  <c r="E46" i="32"/>
  <c r="E48" i="32" s="1"/>
  <c r="F47" i="32" s="1"/>
  <c r="F51" i="32"/>
  <c r="F53" i="32"/>
  <c r="F55" i="32"/>
  <c r="F52" i="32"/>
  <c r="F54" i="32"/>
  <c r="K40" i="32"/>
  <c r="K38" i="32"/>
  <c r="K35" i="32"/>
  <c r="K39" i="32"/>
  <c r="K34" i="32"/>
  <c r="L21" i="32"/>
  <c r="L21" i="34"/>
  <c r="L21" i="33"/>
  <c r="L20" i="33"/>
  <c r="L20" i="34"/>
  <c r="O20" i="33"/>
  <c r="L20" i="32"/>
  <c r="O19" i="34"/>
  <c r="L19" i="32"/>
  <c r="O13" i="34"/>
  <c r="O15" i="34"/>
  <c r="L14" i="33"/>
  <c r="L18" i="33"/>
  <c r="L14" i="34"/>
  <c r="L18" i="34"/>
  <c r="L16" i="34"/>
  <c r="L16" i="33"/>
  <c r="L13" i="33"/>
  <c r="L17" i="33"/>
  <c r="L15" i="33"/>
  <c r="L19" i="33"/>
  <c r="H46" i="34"/>
  <c r="H47" i="34"/>
  <c r="N47" i="34"/>
  <c r="N46" i="34"/>
  <c r="N48" i="34" s="1"/>
  <c r="K48" i="34"/>
  <c r="L47" i="34" s="1"/>
  <c r="K35" i="34"/>
  <c r="K37" i="34"/>
  <c r="K39" i="34"/>
  <c r="F46" i="34"/>
  <c r="F48" i="34" s="1"/>
  <c r="L51" i="34"/>
  <c r="L52" i="34"/>
  <c r="L53" i="34"/>
  <c r="L54" i="34"/>
  <c r="L55" i="34"/>
  <c r="K33" i="34"/>
  <c r="H46" i="33"/>
  <c r="H48" i="33" s="1"/>
  <c r="H47" i="33"/>
  <c r="N47" i="33"/>
  <c r="N46" i="33"/>
  <c r="F55" i="33"/>
  <c r="K33" i="33"/>
  <c r="K35" i="33"/>
  <c r="K37" i="33"/>
  <c r="K39" i="33"/>
  <c r="F46" i="33"/>
  <c r="F48" i="33" s="1"/>
  <c r="L51" i="33"/>
  <c r="L52" i="33"/>
  <c r="L53" i="33"/>
  <c r="L54" i="33"/>
  <c r="L55" i="33"/>
  <c r="M48" i="32"/>
  <c r="N47" i="32" s="1"/>
  <c r="H46" i="32"/>
  <c r="H48" i="32" s="1"/>
  <c r="N52" i="32"/>
  <c r="N54" i="32"/>
  <c r="N51" i="32"/>
  <c r="N57" i="32" s="1"/>
  <c r="N53" i="32"/>
  <c r="N55" i="32"/>
  <c r="H51" i="32"/>
  <c r="H52" i="32"/>
  <c r="H53" i="32"/>
  <c r="H54" i="32"/>
  <c r="H55" i="32"/>
  <c r="B4" i="34"/>
  <c r="B4" i="33"/>
  <c r="B4" i="32"/>
  <c r="L57" i="32" l="1"/>
  <c r="N48" i="33"/>
  <c r="N57" i="33"/>
  <c r="L46" i="34"/>
  <c r="L48" i="34" s="1"/>
  <c r="L57" i="34"/>
  <c r="L57" i="33"/>
  <c r="L46" i="33"/>
  <c r="L48" i="33" s="1"/>
  <c r="H48" i="34"/>
  <c r="H57" i="32"/>
  <c r="F57" i="32"/>
  <c r="F46" i="32"/>
  <c r="F48" i="32" s="1"/>
  <c r="N46" i="32"/>
  <c r="N48" i="32" s="1"/>
  <c r="L46" i="32"/>
  <c r="L48" i="32" s="1"/>
  <c r="L61" i="26"/>
  <c r="L60" i="26"/>
  <c r="L59" i="26"/>
  <c r="L58" i="26"/>
  <c r="L62" i="26" s="1"/>
  <c r="J61" i="26"/>
  <c r="J60" i="26"/>
  <c r="J59" i="26"/>
  <c r="N59" i="26" s="1"/>
  <c r="J58" i="26"/>
  <c r="J62" i="26" s="1"/>
  <c r="B4" i="26"/>
  <c r="Q22" i="34"/>
  <c r="Q22" i="33"/>
  <c r="Q22" i="32"/>
  <c r="Q22" i="27"/>
  <c r="P22" i="27"/>
  <c r="L43" i="26" l="1"/>
  <c r="L47" i="26"/>
  <c r="F59" i="26"/>
  <c r="F61" i="26"/>
  <c r="F63" i="26"/>
  <c r="F65" i="26"/>
  <c r="F62" i="26"/>
  <c r="F58" i="26"/>
  <c r="O80" i="26"/>
  <c r="O81" i="26"/>
  <c r="O74" i="26"/>
  <c r="N60" i="26"/>
  <c r="L42" i="26"/>
  <c r="L40" i="26"/>
  <c r="K84" i="26"/>
  <c r="L83" i="26" s="1"/>
  <c r="F66" i="26"/>
  <c r="L44" i="26"/>
  <c r="L46" i="26"/>
  <c r="J48" i="26"/>
  <c r="L39" i="26"/>
  <c r="N61" i="26"/>
  <c r="F60" i="26"/>
  <c r="F64" i="26"/>
  <c r="L41" i="26"/>
  <c r="L45" i="26"/>
  <c r="K48" i="26"/>
  <c r="K61" i="26"/>
  <c r="G84" i="26"/>
  <c r="H81" i="26" s="1"/>
  <c r="M84" i="26"/>
  <c r="N83" i="26" s="1"/>
  <c r="N58" i="26"/>
  <c r="N62" i="26" s="1"/>
  <c r="M60" i="26"/>
  <c r="E84" i="26"/>
  <c r="F83" i="26" s="1"/>
  <c r="N47" i="26"/>
  <c r="M46" i="26"/>
  <c r="N43" i="26"/>
  <c r="M42" i="26"/>
  <c r="G62" i="26" l="1"/>
  <c r="G60" i="26"/>
  <c r="G59" i="26"/>
  <c r="G64" i="26"/>
  <c r="G63" i="26"/>
  <c r="M59" i="26"/>
  <c r="L48" i="26"/>
  <c r="L81" i="26"/>
  <c r="F82" i="26"/>
  <c r="N80" i="26"/>
  <c r="L80" i="26"/>
  <c r="F80" i="26"/>
  <c r="H28" i="26"/>
  <c r="N79" i="26"/>
  <c r="L79" i="26"/>
  <c r="K73" i="26"/>
  <c r="K75" i="26" s="1"/>
  <c r="L74" i="26" s="1"/>
  <c r="K58" i="26"/>
  <c r="L82" i="26"/>
  <c r="L78" i="26"/>
  <c r="M73" i="26"/>
  <c r="H83" i="26"/>
  <c r="G65" i="26"/>
  <c r="H23" i="26"/>
  <c r="L25" i="26"/>
  <c r="H27" i="26"/>
  <c r="L29" i="26"/>
  <c r="M26" i="26"/>
  <c r="H79" i="26"/>
  <c r="G61" i="26"/>
  <c r="H24" i="26"/>
  <c r="M30" i="26"/>
  <c r="H22" i="26"/>
  <c r="G31" i="26"/>
  <c r="K25" i="26"/>
  <c r="O42" i="26" s="1"/>
  <c r="N42" i="26"/>
  <c r="K29" i="26"/>
  <c r="O46" i="26" s="1"/>
  <c r="N46" i="26"/>
  <c r="H25" i="26"/>
  <c r="H29" i="26"/>
  <c r="L24" i="26"/>
  <c r="M41" i="26"/>
  <c r="L28" i="26"/>
  <c r="M45" i="26"/>
  <c r="G73" i="26"/>
  <c r="G75" i="26" s="1"/>
  <c r="H74" i="26" s="1"/>
  <c r="M22" i="26"/>
  <c r="N39" i="26"/>
  <c r="J31" i="26"/>
  <c r="M24" i="26"/>
  <c r="N41" i="26"/>
  <c r="M28" i="26"/>
  <c r="N45" i="26"/>
  <c r="K26" i="26"/>
  <c r="N82" i="26"/>
  <c r="N78" i="26"/>
  <c r="F81" i="26"/>
  <c r="F78" i="26"/>
  <c r="H82" i="26"/>
  <c r="H80" i="26"/>
  <c r="M58" i="26"/>
  <c r="M61" i="26"/>
  <c r="M23" i="26"/>
  <c r="N40" i="26"/>
  <c r="M27" i="26"/>
  <c r="N44" i="26"/>
  <c r="L22" i="26"/>
  <c r="I31" i="26"/>
  <c r="M39" i="26"/>
  <c r="L26" i="26"/>
  <c r="M43" i="26"/>
  <c r="L30" i="26"/>
  <c r="M47" i="26"/>
  <c r="K22" i="26"/>
  <c r="F31" i="26"/>
  <c r="H26" i="26"/>
  <c r="H30" i="26"/>
  <c r="L23" i="26"/>
  <c r="M40" i="26"/>
  <c r="L27" i="26"/>
  <c r="M44" i="26"/>
  <c r="K30" i="26"/>
  <c r="O47" i="26" s="1"/>
  <c r="N81" i="26"/>
  <c r="F79" i="26"/>
  <c r="E73" i="26"/>
  <c r="E75" i="26" s="1"/>
  <c r="F74" i="26" s="1"/>
  <c r="H78" i="26"/>
  <c r="K59" i="26"/>
  <c r="K60" i="26"/>
  <c r="K27" i="26"/>
  <c r="M25" i="26"/>
  <c r="M29" i="26"/>
  <c r="K24" i="26"/>
  <c r="K28" i="26"/>
  <c r="K23" i="26"/>
  <c r="L15" i="26"/>
  <c r="L14" i="26"/>
  <c r="L13" i="26"/>
  <c r="J15" i="26"/>
  <c r="J14" i="26"/>
  <c r="J13" i="26"/>
  <c r="H15" i="26"/>
  <c r="H14" i="26"/>
  <c r="H13" i="26"/>
  <c r="L84" i="26" l="1"/>
  <c r="M62" i="26"/>
  <c r="K62" i="26"/>
  <c r="G16" i="26"/>
  <c r="H16" i="26" s="1"/>
  <c r="K31" i="26"/>
  <c r="H31" i="26"/>
  <c r="N25" i="26"/>
  <c r="H73" i="26"/>
  <c r="H75" i="26" s="1"/>
  <c r="M75" i="26"/>
  <c r="N74" i="26" s="1"/>
  <c r="O75" i="26"/>
  <c r="N29" i="26"/>
  <c r="L73" i="26"/>
  <c r="L75" i="26" s="1"/>
  <c r="F73" i="26"/>
  <c r="F75" i="26" s="1"/>
  <c r="N84" i="26"/>
  <c r="F84" i="26"/>
  <c r="H84" i="26"/>
  <c r="O60" i="26"/>
  <c r="O61" i="26"/>
  <c r="O59" i="26"/>
  <c r="O58" i="26"/>
  <c r="N22" i="26"/>
  <c r="O39" i="26"/>
  <c r="N26" i="26"/>
  <c r="O43" i="26"/>
  <c r="N23" i="26"/>
  <c r="O40" i="26"/>
  <c r="N30" i="26"/>
  <c r="M31" i="26"/>
  <c r="N48" i="26"/>
  <c r="N24" i="26"/>
  <c r="O41" i="26"/>
  <c r="J63" i="26"/>
  <c r="N28" i="26"/>
  <c r="O45" i="26"/>
  <c r="N27" i="26"/>
  <c r="O44" i="26"/>
  <c r="M48" i="26"/>
  <c r="L63" i="26"/>
  <c r="I16" i="26"/>
  <c r="O62" i="26" l="1"/>
  <c r="N73" i="26"/>
  <c r="N75" i="26" s="1"/>
  <c r="P74" i="26"/>
  <c r="O48" i="26"/>
  <c r="N63" i="26"/>
  <c r="K16" i="26"/>
  <c r="E57" i="27" l="1"/>
  <c r="G57" i="27"/>
  <c r="H55" i="27" s="1"/>
  <c r="K57" i="27"/>
  <c r="L53" i="27" s="1"/>
  <c r="M57" i="27"/>
  <c r="N55" i="27" s="1"/>
  <c r="B4" i="27"/>
  <c r="J33" i="27"/>
  <c r="J34" i="27"/>
  <c r="J35" i="27"/>
  <c r="J36" i="27"/>
  <c r="J37" i="27"/>
  <c r="J38" i="27"/>
  <c r="J39" i="27"/>
  <c r="J40" i="27"/>
  <c r="J32" i="27"/>
  <c r="B3" i="27"/>
  <c r="B3" i="32"/>
  <c r="B3" i="33"/>
  <c r="B3" i="34"/>
  <c r="N13" i="27"/>
  <c r="N21" i="27"/>
  <c r="M21" i="27"/>
  <c r="N20" i="27"/>
  <c r="M20" i="27"/>
  <c r="N19" i="27"/>
  <c r="M19" i="27"/>
  <c r="N18" i="27"/>
  <c r="M18" i="27"/>
  <c r="N17" i="27"/>
  <c r="M17" i="27"/>
  <c r="N16" i="27"/>
  <c r="M16" i="27"/>
  <c r="N15" i="27"/>
  <c r="M15" i="27"/>
  <c r="N14" i="27"/>
  <c r="M14" i="27"/>
  <c r="M13" i="27"/>
  <c r="K20" i="27"/>
  <c r="J20" i="27"/>
  <c r="K19" i="27"/>
  <c r="K18" i="27"/>
  <c r="K17" i="27"/>
  <c r="K16" i="27"/>
  <c r="K15" i="27"/>
  <c r="K14" i="27"/>
  <c r="K13" i="27"/>
  <c r="J19" i="27"/>
  <c r="J18" i="27"/>
  <c r="J17" i="27"/>
  <c r="J16" i="27"/>
  <c r="J15" i="27"/>
  <c r="J14" i="27"/>
  <c r="J13" i="27"/>
  <c r="F53" i="27" l="1"/>
  <c r="E46" i="27"/>
  <c r="E48" i="27" s="1"/>
  <c r="F47" i="27" s="1"/>
  <c r="F51" i="27"/>
  <c r="M46" i="27"/>
  <c r="M48" i="27" s="1"/>
  <c r="N47" i="27" s="1"/>
  <c r="N52" i="27"/>
  <c r="K46" i="27"/>
  <c r="K48" i="27" s="1"/>
  <c r="L47" i="27" s="1"/>
  <c r="L52" i="27"/>
  <c r="H56" i="27"/>
  <c r="G46" i="27"/>
  <c r="G48" i="27" s="1"/>
  <c r="H47" i="27" s="1"/>
  <c r="H53" i="27"/>
  <c r="H54" i="27"/>
  <c r="F54" i="27"/>
  <c r="F56" i="27"/>
  <c r="F52" i="27"/>
  <c r="F55" i="27"/>
  <c r="N53" i="27"/>
  <c r="N54" i="27"/>
  <c r="N56" i="27"/>
  <c r="L55" i="27"/>
  <c r="L54" i="27"/>
  <c r="L51" i="27"/>
  <c r="L56" i="27"/>
  <c r="H52" i="27"/>
  <c r="H51" i="27"/>
  <c r="N51" i="27"/>
  <c r="K37" i="27"/>
  <c r="K36" i="27"/>
  <c r="K33" i="27"/>
  <c r="K39" i="27"/>
  <c r="K35" i="27"/>
  <c r="K38" i="27"/>
  <c r="K34" i="27"/>
  <c r="K40" i="27"/>
  <c r="K21" i="27"/>
  <c r="J12" i="26" s="1"/>
  <c r="J16" i="26" s="1"/>
  <c r="J21" i="27"/>
  <c r="I21" i="27"/>
  <c r="O21" i="27" s="1"/>
  <c r="I20" i="27"/>
  <c r="O20" i="27" s="1"/>
  <c r="I19" i="27"/>
  <c r="O19" i="27" s="1"/>
  <c r="I18" i="27"/>
  <c r="O18" i="27" s="1"/>
  <c r="I17" i="27"/>
  <c r="O17" i="27" s="1"/>
  <c r="I16" i="27"/>
  <c r="O16" i="27" s="1"/>
  <c r="I15" i="27"/>
  <c r="O15" i="27" s="1"/>
  <c r="I14" i="27"/>
  <c r="O14" i="27" s="1"/>
  <c r="I13" i="27"/>
  <c r="O13" i="27" s="1"/>
  <c r="F14" i="27"/>
  <c r="F15" i="27"/>
  <c r="L15" i="27" s="1"/>
  <c r="F16" i="27"/>
  <c r="F17" i="27"/>
  <c r="F18" i="27"/>
  <c r="F19" i="27"/>
  <c r="F20" i="27"/>
  <c r="F21" i="27"/>
  <c r="F13" i="27"/>
  <c r="L19" i="27" l="1"/>
  <c r="L17" i="27"/>
  <c r="H57" i="27"/>
  <c r="F57" i="27"/>
  <c r="N57" i="27"/>
  <c r="N46" i="27"/>
  <c r="N48" i="27" s="1"/>
  <c r="L57" i="27"/>
  <c r="L46" i="27"/>
  <c r="L48" i="27" s="1"/>
  <c r="H46" i="27"/>
  <c r="H48" i="27" s="1"/>
  <c r="F46" i="27"/>
  <c r="F48" i="27" s="1"/>
  <c r="L16" i="27"/>
  <c r="L13" i="27"/>
  <c r="L18" i="27"/>
  <c r="L14" i="27"/>
  <c r="L20" i="27"/>
  <c r="L21" i="27"/>
  <c r="L12" i="26" s="1"/>
  <c r="L16" i="26" s="1"/>
  <c r="B3" i="26" l="1"/>
</calcChain>
</file>

<file path=xl/sharedStrings.xml><?xml version="1.0" encoding="utf-8"?>
<sst xmlns="http://schemas.openxmlformats.org/spreadsheetml/2006/main" count="459" uniqueCount="81">
  <si>
    <t>Índice</t>
  </si>
  <si>
    <t>Total</t>
  </si>
  <si>
    <t>Año</t>
  </si>
  <si>
    <t>Otros</t>
  </si>
  <si>
    <t>Presupuesto (PIM)</t>
  </si>
  <si>
    <t>Ejecutado</t>
  </si>
  <si>
    <t>Avance              G. Regional</t>
  </si>
  <si>
    <t>Avance              G. Locales</t>
  </si>
  <si>
    <t>Avance Total</t>
  </si>
  <si>
    <t>G. Regional</t>
  </si>
  <si>
    <t>G. Locales</t>
  </si>
  <si>
    <t>2017*</t>
  </si>
  <si>
    <t>Peso (%)</t>
  </si>
  <si>
    <t>Fuente: MEF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PERUCÁMARAS</t>
  </si>
  <si>
    <t>Gasto Ejec</t>
  </si>
  <si>
    <t>Var.%</t>
  </si>
  <si>
    <t>RECURSOS</t>
  </si>
  <si>
    <t>PAR. (%)</t>
  </si>
  <si>
    <t>CANON (Todos)</t>
  </si>
  <si>
    <t>TIPO DE CANON</t>
  </si>
  <si>
    <t>GASÍFERO</t>
  </si>
  <si>
    <t>HIDROENERGÉTICO</t>
  </si>
  <si>
    <t>MINERO</t>
  </si>
  <si>
    <t>PESQUERO</t>
  </si>
  <si>
    <t>REGIONAL</t>
  </si>
  <si>
    <t>PETROLERO</t>
  </si>
  <si>
    <t>2. Transferencias de Canon y otros.</t>
  </si>
  <si>
    <t>Fuente: MEF                                                                                            Elaboración: PERUCÁMARAS</t>
  </si>
  <si>
    <r>
      <t xml:space="preserve">Presupuesto y Ejecución del Gasto financiado por Canon y otros, 2009-2017*
</t>
    </r>
    <r>
      <rPr>
        <sz val="10"/>
        <color theme="1"/>
        <rFont val="Calibri"/>
        <family val="2"/>
        <scheme val="minor"/>
      </rPr>
      <t>(En Millones de Soles)</t>
    </r>
  </si>
  <si>
    <r>
      <t xml:space="preserve">Transferencias de Canon y otros a los Gobiernos Sub-Nacionales, 2009-2017*
</t>
    </r>
    <r>
      <rPr>
        <sz val="8"/>
        <color theme="1"/>
        <rFont val="Calibri"/>
        <family val="2"/>
        <scheme val="minor"/>
      </rPr>
      <t>(En Millones de Soles)</t>
    </r>
  </si>
  <si>
    <t>REGIONES</t>
  </si>
  <si>
    <t>Gobiernos Regionales</t>
  </si>
  <si>
    <t>Gobiernos Locales</t>
  </si>
  <si>
    <t>Total Regionales y Locales</t>
  </si>
  <si>
    <t>Presupuesto</t>
  </si>
  <si>
    <t>Ejecución (%)</t>
  </si>
  <si>
    <t>Fuente: MEF                                                                                                                                                                    Elaboración: PERUCÁMARAS</t>
  </si>
  <si>
    <t>Avance                    G. Locales</t>
  </si>
  <si>
    <t>Peso del Gasto financiado por Canon y Otros en el Gasto Total</t>
  </si>
  <si>
    <t>(Millones S/)</t>
  </si>
  <si>
    <t>Total Gasto Ejecutado</t>
  </si>
  <si>
    <t>Gast.T</t>
  </si>
  <si>
    <t>(Gobieno Regional y G. Locales en millones de S/)</t>
  </si>
  <si>
    <t>(Par. %)</t>
  </si>
  <si>
    <t>Transf. 2016</t>
  </si>
  <si>
    <r>
      <rPr>
        <b/>
        <sz val="8"/>
        <rFont val="Calibri"/>
        <family val="2"/>
        <scheme val="minor"/>
      </rPr>
      <t xml:space="preserve">Gobierno Regional </t>
    </r>
    <r>
      <rPr>
        <sz val="8"/>
        <rFont val="Calibri"/>
        <family val="2"/>
        <scheme val="minor"/>
      </rPr>
      <t>Transferencias de Canon y otros.</t>
    </r>
  </si>
  <si>
    <r>
      <rPr>
        <b/>
        <sz val="8"/>
        <rFont val="Calibri"/>
        <family val="2"/>
        <scheme val="minor"/>
      </rPr>
      <t xml:space="preserve">Gobiernos locales </t>
    </r>
    <r>
      <rPr>
        <sz val="8"/>
        <rFont val="Calibri"/>
        <family val="2"/>
        <scheme val="minor"/>
      </rPr>
      <t>Transferencias de Canon y otros.</t>
    </r>
  </si>
  <si>
    <t>Oriente</t>
  </si>
  <si>
    <t>Amazonas</t>
  </si>
  <si>
    <t>Loreto</t>
  </si>
  <si>
    <t>San Martín</t>
  </si>
  <si>
    <t>Ucayali</t>
  </si>
  <si>
    <t>Información ampliada del Reporte Regional de la Macro Región Oriente - Edición N° 240</t>
  </si>
  <si>
    <t>(*) Al 15 de mayo del 2017</t>
  </si>
  <si>
    <t>1. Presupuesto y Ejecución del Canon y otros, mayo 2017</t>
  </si>
  <si>
    <t>1. Macro Región Oriente: Presupuesto y ejecución de Canon y otros</t>
  </si>
  <si>
    <r>
      <rPr>
        <b/>
        <sz val="10"/>
        <color theme="1"/>
        <rFont val="Calibri"/>
        <family val="2"/>
        <scheme val="minor"/>
      </rPr>
      <t xml:space="preserve"> Macro Región Oriente: Presupuesto y ejecución de Canon y otros, 2017*</t>
    </r>
    <r>
      <rPr>
        <sz val="8"/>
        <color theme="1"/>
        <rFont val="Calibri"/>
        <family val="2"/>
        <scheme val="minor"/>
      </rPr>
      <t xml:space="preserve">
(En Millones de Soles)</t>
    </r>
  </si>
  <si>
    <t>M.R. ORIENTE</t>
  </si>
  <si>
    <t>Presupuesto (PIM) - En Millones S/</t>
  </si>
  <si>
    <t>Ejecutado  - En Millones S/</t>
  </si>
  <si>
    <t>El peso del Gasto financiado por Canon y Otros en el Gasto Total, 2016</t>
  </si>
  <si>
    <r>
      <t xml:space="preserve">MACRO REGIÓN ORIENTE: Transferencias de Canon y otros a los Gobiernos Sub-Nacionales, 2009-2017*
</t>
    </r>
    <r>
      <rPr>
        <sz val="8"/>
        <color theme="1"/>
        <rFont val="Calibri"/>
        <family val="2"/>
        <scheme val="minor"/>
      </rPr>
      <t>(En Millones de Soles)</t>
    </r>
  </si>
  <si>
    <t>MR ORIENTE</t>
  </si>
  <si>
    <t>Presupuesto y ejecución de canon, sobrecanon, regalías, renta de aduanas y participaciones - 2017</t>
  </si>
  <si>
    <t>Lunes, 22 de mayo de 2017</t>
  </si>
  <si>
    <t>Macro Región Oriente: Canon, sobrecanon, regalías, renta de aduanas y participaciones - A mayo del 2017</t>
  </si>
  <si>
    <r>
      <rPr>
        <b/>
        <sz val="10"/>
        <color theme="1"/>
        <rFont val="Calibri"/>
        <family val="2"/>
        <scheme val="minor"/>
      </rPr>
      <t xml:space="preserve"> Macro Región Oriente: Presupuesto y ejecución de Canon y otros - 2017*</t>
    </r>
    <r>
      <rPr>
        <sz val="8"/>
        <color theme="1"/>
        <rFont val="Calibri"/>
        <family val="2"/>
        <scheme val="minor"/>
      </rPr>
      <t xml:space="preserve">
(En Millones de Soles)</t>
    </r>
  </si>
  <si>
    <t>Regiones</t>
  </si>
  <si>
    <t>Total subnacionales</t>
  </si>
  <si>
    <t>MR Oriente</t>
  </si>
  <si>
    <t>(*) Al 15 de mayo de 2017</t>
  </si>
  <si>
    <t>Fuente: MEF                                                                                                                                                            Elaboración: CIE-PERUCÁMARAS</t>
  </si>
  <si>
    <t>Fuente: MEF                                                                                                                                                                            Elaboración: CIE-PERUCÁMARAS</t>
  </si>
  <si>
    <t>Fuente: MEF                                                                                Elaboración: CIE-PERUCÁMARAS</t>
  </si>
  <si>
    <t>Fuente: MEF                                                                                                                                                         Elaboración: CIE-PERUCÁMARAS</t>
  </si>
  <si>
    <t>Fuente: MEF                                                                                 Elaboración: CIE-PERUCÁMARAS</t>
  </si>
  <si>
    <t>Fuente: MEF                                                                                  Elaboración: CIE-PERUCÁMARAS</t>
  </si>
  <si>
    <t>Amazonas: Canon, sobrecanon, regalías, renta de aduanas y participaciones - A mayo del 2017</t>
  </si>
  <si>
    <t>Loreto: Canon, sobrecanon, regalías, renta de aduanas y participaciones - A mayo del 2017</t>
  </si>
  <si>
    <t>San Martín: Canon, sobrecanon, regalías, renta de aduanas y participaciones - A mayo del 2017</t>
  </si>
  <si>
    <t>Ucayali: Canon, sobrecanon, regalías, renta de aduanas y participaciones - A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</si>
</sst>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0.0"/>
    <numFmt numFmtId="173" formatCode="#,##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11"/>
      <color rgb="FFFF0000"/>
      <name val="Calibri"/>
      <family val="2"/>
      <scheme val="minor"/>
    </font>
    <font>
      <sz val="8"/>
      <color rgb="FFFFFFFF"/>
      <name val="Calibri"/>
      <family val="2"/>
    </font>
    <font>
      <sz val="8"/>
      <name val="Calibri"/>
      <family val="2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</font>
    <font>
      <b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DCDB"/>
        <bgColor rgb="FF000000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2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169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13" fillId="2" borderId="0" xfId="0" applyFont="1" applyFill="1" applyBorder="1"/>
    <xf numFmtId="0" fontId="14" fillId="2" borderId="0" xfId="0" applyFont="1" applyFill="1"/>
    <xf numFmtId="0" fontId="4" fillId="0" borderId="0" xfId="1"/>
    <xf numFmtId="0" fontId="18" fillId="6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170" fontId="19" fillId="7" borderId="9" xfId="29" applyNumberFormat="1" applyFont="1" applyFill="1" applyBorder="1" applyAlignment="1">
      <alignment horizontal="center"/>
    </xf>
    <xf numFmtId="0" fontId="19" fillId="7" borderId="0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0" xfId="0" applyFont="1" applyFill="1" applyBorder="1"/>
    <xf numFmtId="0" fontId="20" fillId="5" borderId="20" xfId="0" applyFont="1" applyFill="1" applyBorder="1" applyAlignment="1">
      <alignment horizontal="center" vertical="center"/>
    </xf>
    <xf numFmtId="170" fontId="21" fillId="2" borderId="20" xfId="29" applyNumberFormat="1" applyFont="1" applyFill="1" applyBorder="1" applyAlignment="1">
      <alignment horizontal="center" vertical="center"/>
    </xf>
    <xf numFmtId="170" fontId="21" fillId="3" borderId="20" xfId="29" applyNumberFormat="1" applyFont="1" applyFill="1" applyBorder="1" applyAlignment="1">
      <alignment horizontal="center" vertical="center"/>
    </xf>
    <xf numFmtId="0" fontId="20" fillId="2" borderId="6" xfId="0" applyFont="1" applyFill="1" applyBorder="1"/>
    <xf numFmtId="0" fontId="20" fillId="2" borderId="0" xfId="0" applyFont="1" applyFill="1"/>
    <xf numFmtId="172" fontId="0" fillId="2" borderId="0" xfId="0" applyNumberFormat="1" applyFill="1"/>
    <xf numFmtId="0" fontId="9" fillId="2" borderId="6" xfId="0" applyFont="1" applyFill="1" applyBorder="1"/>
    <xf numFmtId="172" fontId="20" fillId="2" borderId="6" xfId="0" applyNumberFormat="1" applyFont="1" applyFill="1" applyBorder="1"/>
    <xf numFmtId="172" fontId="20" fillId="2" borderId="0" xfId="0" applyNumberFormat="1" applyFont="1" applyFill="1"/>
    <xf numFmtId="0" fontId="12" fillId="2" borderId="6" xfId="0" applyFont="1" applyFill="1" applyBorder="1"/>
    <xf numFmtId="0" fontId="12" fillId="2" borderId="0" xfId="0" applyFont="1" applyFill="1"/>
    <xf numFmtId="171" fontId="19" fillId="7" borderId="9" xfId="0" applyNumberFormat="1" applyFont="1" applyFill="1" applyBorder="1"/>
    <xf numFmtId="171" fontId="19" fillId="8" borderId="9" xfId="0" applyNumberFormat="1" applyFont="1" applyFill="1" applyBorder="1" applyAlignment="1">
      <alignment horizontal="right" vertical="center"/>
    </xf>
    <xf numFmtId="2" fontId="20" fillId="2" borderId="0" xfId="0" applyNumberFormat="1" applyFont="1" applyFill="1"/>
    <xf numFmtId="170" fontId="19" fillId="8" borderId="10" xfId="29" applyNumberFormat="1" applyFont="1" applyFill="1" applyBorder="1" applyAlignment="1">
      <alignment horizontal="center"/>
    </xf>
    <xf numFmtId="0" fontId="20" fillId="5" borderId="21" xfId="0" applyFont="1" applyFill="1" applyBorder="1" applyAlignment="1">
      <alignment horizontal="center" vertical="center"/>
    </xf>
    <xf numFmtId="170" fontId="21" fillId="2" borderId="21" xfId="29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0" xfId="0" applyFont="1" applyFill="1" applyBorder="1"/>
    <xf numFmtId="170" fontId="21" fillId="2" borderId="20" xfId="29" applyNumberFormat="1" applyFont="1" applyFill="1" applyBorder="1"/>
    <xf numFmtId="3" fontId="21" fillId="2" borderId="0" xfId="0" applyNumberFormat="1" applyFont="1" applyFill="1" applyBorder="1" applyAlignment="1">
      <alignment vertical="center"/>
    </xf>
    <xf numFmtId="171" fontId="21" fillId="2" borderId="20" xfId="0" applyNumberFormat="1" applyFont="1" applyFill="1" applyBorder="1"/>
    <xf numFmtId="0" fontId="21" fillId="3" borderId="20" xfId="0" applyFont="1" applyFill="1" applyBorder="1"/>
    <xf numFmtId="170" fontId="21" fillId="3" borderId="20" xfId="29" applyNumberFormat="1" applyFont="1" applyFill="1" applyBorder="1"/>
    <xf numFmtId="0" fontId="21" fillId="2" borderId="0" xfId="0" applyFont="1" applyFill="1" applyBorder="1"/>
    <xf numFmtId="0" fontId="21" fillId="2" borderId="20" xfId="0" applyFont="1" applyFill="1" applyBorder="1" applyAlignment="1">
      <alignment horizontal="left"/>
    </xf>
    <xf numFmtId="172" fontId="0" fillId="2" borderId="6" xfId="0" applyNumberFormat="1" applyFill="1" applyBorder="1"/>
    <xf numFmtId="171" fontId="21" fillId="2" borderId="20" xfId="0" applyNumberFormat="1" applyFont="1" applyFill="1" applyBorder="1" applyAlignment="1">
      <alignment horizontal="right"/>
    </xf>
    <xf numFmtId="171" fontId="21" fillId="3" borderId="20" xfId="0" applyNumberFormat="1" applyFont="1" applyFill="1" applyBorder="1" applyAlignment="1">
      <alignment horizontal="right"/>
    </xf>
    <xf numFmtId="0" fontId="21" fillId="3" borderId="20" xfId="0" applyFont="1" applyFill="1" applyBorder="1" applyAlignment="1">
      <alignment vertical="center"/>
    </xf>
    <xf numFmtId="171" fontId="21" fillId="3" borderId="20" xfId="0" applyNumberFormat="1" applyFont="1" applyFill="1" applyBorder="1" applyAlignment="1">
      <alignment vertical="center"/>
    </xf>
    <xf numFmtId="171" fontId="21" fillId="3" borderId="20" xfId="0" applyNumberFormat="1" applyFont="1" applyFill="1" applyBorder="1"/>
    <xf numFmtId="170" fontId="21" fillId="3" borderId="20" xfId="29" applyNumberFormat="1" applyFont="1" applyFill="1" applyBorder="1" applyAlignment="1">
      <alignment vertical="center"/>
    </xf>
    <xf numFmtId="0" fontId="9" fillId="2" borderId="0" xfId="0" applyFont="1" applyFill="1" applyBorder="1"/>
    <xf numFmtId="171" fontId="21" fillId="2" borderId="28" xfId="0" applyNumberFormat="1" applyFont="1" applyFill="1" applyBorder="1"/>
    <xf numFmtId="3" fontId="21" fillId="3" borderId="28" xfId="0" applyNumberFormat="1" applyFont="1" applyFill="1" applyBorder="1"/>
    <xf numFmtId="170" fontId="21" fillId="2" borderId="28" xfId="29" applyNumberFormat="1" applyFont="1" applyFill="1" applyBorder="1" applyAlignment="1">
      <alignment horizontal="center"/>
    </xf>
    <xf numFmtId="170" fontId="21" fillId="3" borderId="28" xfId="29" applyNumberFormat="1" applyFont="1" applyFill="1" applyBorder="1" applyAlignment="1">
      <alignment horizontal="center"/>
    </xf>
    <xf numFmtId="0" fontId="24" fillId="5" borderId="28" xfId="0" applyFont="1" applyFill="1" applyBorder="1" applyAlignment="1">
      <alignment horizontal="center" vertical="center"/>
    </xf>
    <xf numFmtId="3" fontId="21" fillId="3" borderId="29" xfId="0" applyNumberFormat="1" applyFont="1" applyFill="1" applyBorder="1"/>
    <xf numFmtId="170" fontId="21" fillId="2" borderId="29" xfId="29" applyNumberFormat="1" applyFont="1" applyFill="1" applyBorder="1" applyAlignment="1">
      <alignment horizontal="center"/>
    </xf>
    <xf numFmtId="170" fontId="21" fillId="3" borderId="29" xfId="29" applyNumberFormat="1" applyFont="1" applyFill="1" applyBorder="1" applyAlignment="1">
      <alignment horizontal="center"/>
    </xf>
    <xf numFmtId="171" fontId="26" fillId="2" borderId="30" xfId="0" applyNumberFormat="1" applyFont="1" applyFill="1" applyBorder="1"/>
    <xf numFmtId="171" fontId="26" fillId="3" borderId="30" xfId="0" applyNumberFormat="1" applyFont="1" applyFill="1" applyBorder="1"/>
    <xf numFmtId="170" fontId="26" fillId="2" borderId="30" xfId="29" applyNumberFormat="1" applyFont="1" applyFill="1" applyBorder="1" applyAlignment="1">
      <alignment horizontal="center"/>
    </xf>
    <xf numFmtId="170" fontId="26" fillId="3" borderId="30" xfId="29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vertical="center"/>
    </xf>
    <xf numFmtId="3" fontId="21" fillId="2" borderId="0" xfId="0" applyNumberFormat="1" applyFont="1" applyFill="1" applyBorder="1"/>
    <xf numFmtId="0" fontId="21" fillId="2" borderId="0" xfId="0" applyFont="1" applyFill="1" applyBorder="1" applyAlignment="1">
      <alignment horizontal="center" vertical="center"/>
    </xf>
    <xf numFmtId="0" fontId="20" fillId="5" borderId="28" xfId="0" applyFont="1" applyFill="1" applyBorder="1" applyAlignment="1">
      <alignment horizontal="center" vertical="center"/>
    </xf>
    <xf numFmtId="0" fontId="21" fillId="2" borderId="28" xfId="0" applyFont="1" applyFill="1" applyBorder="1"/>
    <xf numFmtId="3" fontId="21" fillId="2" borderId="28" xfId="0" applyNumberFormat="1" applyFont="1" applyFill="1" applyBorder="1"/>
    <xf numFmtId="3" fontId="21" fillId="3" borderId="28" xfId="0" applyNumberFormat="1" applyFont="1" applyFill="1" applyBorder="1" applyAlignment="1">
      <alignment vertical="center"/>
    </xf>
    <xf numFmtId="170" fontId="21" fillId="3" borderId="28" xfId="29" applyNumberFormat="1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3" fontId="21" fillId="3" borderId="28" xfId="0" applyNumberFormat="1" applyFont="1" applyFill="1" applyBorder="1" applyAlignment="1">
      <alignment horizontal="right" vertical="center"/>
    </xf>
    <xf numFmtId="170" fontId="21" fillId="2" borderId="28" xfId="29" applyNumberFormat="1" applyFont="1" applyFill="1" applyBorder="1" applyAlignment="1">
      <alignment horizontal="center" vertical="center"/>
    </xf>
    <xf numFmtId="0" fontId="9" fillId="2" borderId="8" xfId="0" applyFont="1" applyFill="1" applyBorder="1"/>
    <xf numFmtId="0" fontId="21" fillId="3" borderId="28" xfId="0" applyFont="1" applyFill="1" applyBorder="1" applyAlignment="1">
      <alignment horizontal="center" vertical="center"/>
    </xf>
    <xf numFmtId="3" fontId="21" fillId="2" borderId="20" xfId="0" applyNumberFormat="1" applyFont="1" applyFill="1" applyBorder="1" applyAlignment="1">
      <alignment horizontal="right"/>
    </xf>
    <xf numFmtId="1" fontId="21" fillId="2" borderId="20" xfId="0" applyNumberFormat="1" applyFont="1" applyFill="1" applyBorder="1" applyAlignment="1">
      <alignment horizontal="right"/>
    </xf>
    <xf numFmtId="170" fontId="21" fillId="2" borderId="25" xfId="29" applyNumberFormat="1" applyFont="1" applyFill="1" applyBorder="1"/>
    <xf numFmtId="0" fontId="21" fillId="2" borderId="18" xfId="0" applyFont="1" applyFill="1" applyBorder="1"/>
    <xf numFmtId="170" fontId="21" fillId="2" borderId="18" xfId="29" applyNumberFormat="1" applyFont="1" applyFill="1" applyBorder="1"/>
    <xf numFmtId="9" fontId="21" fillId="2" borderId="18" xfId="0" applyNumberFormat="1" applyFont="1" applyFill="1" applyBorder="1"/>
    <xf numFmtId="0" fontId="21" fillId="2" borderId="19" xfId="0" applyFont="1" applyFill="1" applyBorder="1"/>
    <xf numFmtId="170" fontId="21" fillId="2" borderId="20" xfId="29" applyNumberFormat="1" applyFont="1" applyFill="1" applyBorder="1" applyAlignment="1">
      <alignment horizontal="right"/>
    </xf>
    <xf numFmtId="170" fontId="21" fillId="3" borderId="20" xfId="29" applyNumberFormat="1" applyFont="1" applyFill="1" applyBorder="1" applyAlignment="1">
      <alignment horizontal="right" vertical="center"/>
    </xf>
    <xf numFmtId="0" fontId="21" fillId="3" borderId="20" xfId="0" applyFont="1" applyFill="1" applyBorder="1" applyAlignment="1">
      <alignment horizontal="center" vertical="center"/>
    </xf>
    <xf numFmtId="172" fontId="14" fillId="2" borderId="0" xfId="0" applyNumberFormat="1" applyFont="1" applyFill="1"/>
    <xf numFmtId="171" fontId="20" fillId="2" borderId="0" xfId="0" applyNumberFormat="1" applyFont="1" applyFill="1" applyBorder="1"/>
    <xf numFmtId="170" fontId="20" fillId="2" borderId="6" xfId="29" applyNumberFormat="1" applyFont="1" applyFill="1" applyBorder="1"/>
    <xf numFmtId="0" fontId="12" fillId="2" borderId="0" xfId="0" applyFont="1" applyFill="1" applyBorder="1"/>
    <xf numFmtId="171" fontId="12" fillId="2" borderId="0" xfId="0" applyNumberFormat="1" applyFont="1" applyFill="1" applyBorder="1"/>
    <xf numFmtId="172" fontId="12" fillId="2" borderId="6" xfId="0" applyNumberFormat="1" applyFont="1" applyFill="1" applyBorder="1"/>
    <xf numFmtId="0" fontId="17" fillId="2" borderId="0" xfId="0" applyFont="1" applyFill="1"/>
    <xf numFmtId="0" fontId="17" fillId="2" borderId="6" xfId="0" applyFont="1" applyFill="1" applyBorder="1"/>
    <xf numFmtId="0" fontId="17" fillId="2" borderId="8" xfId="0" applyFont="1" applyFill="1" applyBorder="1"/>
    <xf numFmtId="0" fontId="12" fillId="2" borderId="8" xfId="0" applyFont="1" applyFill="1" applyBorder="1"/>
    <xf numFmtId="43" fontId="20" fillId="2" borderId="6" xfId="30" applyFont="1" applyFill="1" applyBorder="1"/>
    <xf numFmtId="4" fontId="21" fillId="2" borderId="20" xfId="0" applyNumberFormat="1" applyFont="1" applyFill="1" applyBorder="1" applyAlignment="1">
      <alignment horizontal="right"/>
    </xf>
    <xf numFmtId="172" fontId="10" fillId="2" borderId="0" xfId="0" applyNumberFormat="1" applyFont="1" applyFill="1"/>
    <xf numFmtId="170" fontId="0" fillId="2" borderId="0" xfId="29" applyNumberFormat="1" applyFont="1" applyFill="1" applyBorder="1"/>
    <xf numFmtId="173" fontId="21" fillId="2" borderId="20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70" fontId="21" fillId="2" borderId="23" xfId="29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center"/>
    </xf>
    <xf numFmtId="0" fontId="20" fillId="5" borderId="2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left" vertical="center"/>
    </xf>
    <xf numFmtId="0" fontId="24" fillId="5" borderId="28" xfId="0" applyFont="1" applyFill="1" applyBorder="1" applyAlignment="1">
      <alignment horizontal="center"/>
    </xf>
    <xf numFmtId="0" fontId="24" fillId="5" borderId="28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left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8" fillId="5" borderId="31" xfId="0" applyFont="1" applyFill="1" applyBorder="1" applyAlignment="1">
      <alignment horizontal="center" vertical="center" wrapText="1"/>
    </xf>
    <xf numFmtId="0" fontId="28" fillId="5" borderId="32" xfId="0" applyFont="1" applyFill="1" applyBorder="1" applyAlignment="1">
      <alignment horizontal="center"/>
    </xf>
    <xf numFmtId="0" fontId="28" fillId="5" borderId="33" xfId="0" applyFont="1" applyFill="1" applyBorder="1" applyAlignment="1">
      <alignment horizontal="center"/>
    </xf>
    <xf numFmtId="0" fontId="28" fillId="5" borderId="26" xfId="0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vertical="center"/>
    </xf>
    <xf numFmtId="171" fontId="26" fillId="3" borderId="20" xfId="0" applyNumberFormat="1" applyFont="1" applyFill="1" applyBorder="1" applyAlignment="1">
      <alignment vertical="center"/>
    </xf>
    <xf numFmtId="170" fontId="26" fillId="3" borderId="20" xfId="29" applyNumberFormat="1" applyFont="1" applyFill="1" applyBorder="1" applyAlignment="1">
      <alignment vertical="center"/>
    </xf>
    <xf numFmtId="171" fontId="26" fillId="3" borderId="20" xfId="0" applyNumberFormat="1" applyFont="1" applyFill="1" applyBorder="1"/>
    <xf numFmtId="171" fontId="26" fillId="3" borderId="28" xfId="0" applyNumberFormat="1" applyFont="1" applyFill="1" applyBorder="1" applyAlignment="1">
      <alignment vertical="center"/>
    </xf>
    <xf numFmtId="170" fontId="26" fillId="3" borderId="28" xfId="29" applyNumberFormat="1" applyFont="1" applyFill="1" applyBorder="1" applyAlignment="1">
      <alignment horizontal="center" vertical="center"/>
    </xf>
  </cellXfs>
  <cellStyles count="32">
    <cellStyle name="Euro" xfId="3"/>
    <cellStyle name="Euro 2" xfId="4"/>
    <cellStyle name="Euro 2 2" xfId="5"/>
    <cellStyle name="Hipervínculo" xfId="1" builtinId="8"/>
    <cellStyle name="Millares" xfId="30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Normal 6" xfId="31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Oriente: Presupuesto y ejecución de canon, y otros  2017*</a:t>
            </a:r>
          </a:p>
          <a:p>
            <a:pPr>
              <a:defRPr sz="1000"/>
            </a:pPr>
            <a:r>
              <a:rPr lang="es-PE" sz="1000" b="0" i="0" baseline="0">
                <a:effectLst/>
              </a:rPr>
              <a:t>(Gobiernos Regionales y Locales)</a:t>
            </a:r>
            <a:endParaRPr lang="es-PE" sz="1000" b="0">
              <a:effectLst/>
            </a:endParaRPr>
          </a:p>
        </c:rich>
      </c:tx>
      <c:layout>
        <c:manualLayout>
          <c:xMode val="edge"/>
          <c:yMode val="edge"/>
          <c:x val="0.12946555555555556"/>
          <c:y val="1.6655902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199444444444449E-2"/>
          <c:y val="0.24183993055555555"/>
          <c:w val="0.79120759259259255"/>
          <c:h val="0.57403472222222218"/>
        </c:manualLayout>
      </c:layout>
      <c:barChart>
        <c:barDir val="col"/>
        <c:grouping val="clustered"/>
        <c:varyColors val="0"/>
        <c:ser>
          <c:idx val="2"/>
          <c:order val="0"/>
          <c:tx>
            <c:v>Presupuesto (Millones de S/)</c:v>
          </c:tx>
          <c:spPr>
            <a:solidFill>
              <a:schemeClr val="accent2">
                <a:lumMod val="60000"/>
                <a:lumOff val="40000"/>
              </a:schemeClr>
            </a:solidFill>
            <a:ln w="3175"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2.1580784993565512E-17"/>
                  <c:y val="-4.85069444444444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085893010840691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rgbClr val="C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Oriente!$F$12:$F$15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Oriente!$K$12:$K$15</c:f>
              <c:numCache>
                <c:formatCode>#,##0.0</c:formatCode>
                <c:ptCount val="4"/>
                <c:pt idx="0">
                  <c:v>54.533340000000003</c:v>
                </c:pt>
                <c:pt idx="1">
                  <c:v>132.39433500000001</c:v>
                </c:pt>
                <c:pt idx="2">
                  <c:v>195.49898999999999</c:v>
                </c:pt>
                <c:pt idx="3">
                  <c:v>110.172175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26080"/>
        <c:axId val="83327616"/>
      </c:barChart>
      <c:lineChart>
        <c:grouping val="standard"/>
        <c:varyColors val="0"/>
        <c:ser>
          <c:idx val="0"/>
          <c:order val="1"/>
          <c:tx>
            <c:v>Ejecución (%)</c:v>
          </c:tx>
          <c:spPr>
            <a:ln w="28575">
              <a:noFill/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9958132484501955E-2"/>
                  <c:y val="-3.662256944444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895248532875782E-2"/>
                  <c:y val="-3.662256944444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Oriente!$L$12:$L$15</c:f>
              <c:numCache>
                <c:formatCode>0.0%</c:formatCode>
                <c:ptCount val="4"/>
                <c:pt idx="0">
                  <c:v>0.19137109518690767</c:v>
                </c:pt>
                <c:pt idx="1">
                  <c:v>0.14974290251920522</c:v>
                </c:pt>
                <c:pt idx="2">
                  <c:v>0.12463113492299883</c:v>
                </c:pt>
                <c:pt idx="3">
                  <c:v>0.22009086232526498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55520"/>
        <c:axId val="83353984"/>
      </c:lineChart>
      <c:catAx>
        <c:axId val="83326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3327616"/>
        <c:crosses val="autoZero"/>
        <c:auto val="1"/>
        <c:lblAlgn val="ctr"/>
        <c:lblOffset val="100"/>
        <c:noMultiLvlLbl val="0"/>
      </c:catAx>
      <c:valAx>
        <c:axId val="83327616"/>
        <c:scaling>
          <c:orientation val="minMax"/>
          <c:max val="200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3326080"/>
        <c:crosses val="autoZero"/>
        <c:crossBetween val="between"/>
      </c:valAx>
      <c:valAx>
        <c:axId val="83353984"/>
        <c:scaling>
          <c:orientation val="minMax"/>
          <c:max val="0.75000000000000011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3355520"/>
        <c:crosses val="max"/>
        <c:crossBetween val="between"/>
        <c:majorUnit val="0.15000000000000002"/>
      </c:valAx>
      <c:catAx>
        <c:axId val="83355520"/>
        <c:scaling>
          <c:orientation val="minMax"/>
        </c:scaling>
        <c:delete val="1"/>
        <c:axPos val="b"/>
        <c:majorTickMark val="out"/>
        <c:minorTickMark val="none"/>
        <c:tickLblPos val="nextTo"/>
        <c:crossAx val="833539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21180050337415"/>
          <c:y val="0.19497638888888888"/>
          <c:w val="0.39801462962962963"/>
          <c:h val="6.6010763888888893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Oriente: Ejecución de canon, sobrecanon, regalías, renta de aduanas y participaciones, 2017* </a:t>
            </a:r>
            <a:endParaRPr lang="es-PE" sz="1000">
              <a:effectLst/>
            </a:endParaRPr>
          </a:p>
        </c:rich>
      </c:tx>
      <c:layout>
        <c:manualLayout>
          <c:xMode val="edge"/>
          <c:yMode val="edge"/>
          <c:x val="0.1656488888888889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74074074074074E-2"/>
          <c:y val="0.19402777777777777"/>
          <c:w val="0.89887037037037032"/>
          <c:h val="0.58525833333333332"/>
        </c:manualLayout>
      </c:layout>
      <c:barChart>
        <c:barDir val="col"/>
        <c:grouping val="clustered"/>
        <c:varyColors val="0"/>
        <c:ser>
          <c:idx val="0"/>
          <c:order val="0"/>
          <c:tx>
            <c:v>G. Regional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4.703703703703703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Oriente!$F$12:$F$15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Oriente!$H$12:$H$15</c:f>
              <c:numCache>
                <c:formatCode>0.0%</c:formatCode>
                <c:ptCount val="4"/>
                <c:pt idx="0">
                  <c:v>0.14820506116467691</c:v>
                </c:pt>
                <c:pt idx="1">
                  <c:v>6.2527466082582986E-2</c:v>
                </c:pt>
                <c:pt idx="2">
                  <c:v>8.8019687091551613E-2</c:v>
                </c:pt>
                <c:pt idx="3">
                  <c:v>0.17824696132045798</c:v>
                </c:pt>
              </c:numCache>
            </c:numRef>
          </c:val>
        </c:ser>
        <c:ser>
          <c:idx val="1"/>
          <c:order val="1"/>
          <c:tx>
            <c:v>G. Locales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7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Oriente!$F$12:$F$15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Oriente!$J$12:$J$15</c:f>
              <c:numCache>
                <c:formatCode>0.0%</c:formatCode>
                <c:ptCount val="4"/>
                <c:pt idx="0">
                  <c:v>0.19240652211839041</c:v>
                </c:pt>
                <c:pt idx="1">
                  <c:v>0.24797503906630308</c:v>
                </c:pt>
                <c:pt idx="2">
                  <c:v>0.15497529079003755</c:v>
                </c:pt>
                <c:pt idx="3">
                  <c:v>0.23406367538882233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267584"/>
        <c:axId val="83269120"/>
      </c:barChart>
      <c:catAx>
        <c:axId val="83267584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3269120"/>
        <c:crosses val="autoZero"/>
        <c:auto val="1"/>
        <c:lblAlgn val="ctr"/>
        <c:lblOffset val="100"/>
        <c:noMultiLvlLbl val="0"/>
      </c:catAx>
      <c:valAx>
        <c:axId val="83269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3267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6693175143223017"/>
          <c:y val="0.14385394549834535"/>
          <c:w val="0.2764888888888889"/>
          <c:h val="7.4414583333333326E-2"/>
        </c:manualLayout>
      </c:layout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Oriente: Ejecución de los recursos de canon, sobrecanon, regalías, renta de aduanas y participaciones, 2009-2017*</a:t>
            </a:r>
            <a:endParaRPr lang="es-PE" sz="1000">
              <a:effectLst/>
            </a:endParaRPr>
          </a:p>
          <a:p>
            <a:pPr>
              <a:defRPr sz="1000"/>
            </a:pPr>
            <a:r>
              <a:rPr lang="es-PE" sz="1000" b="0" i="0" baseline="0">
                <a:effectLst/>
              </a:rPr>
              <a:t>(% Presupuesto)</a:t>
            </a:r>
            <a:endParaRPr lang="es-PE" sz="1000">
              <a:effectLst/>
            </a:endParaRPr>
          </a:p>
        </c:rich>
      </c:tx>
      <c:layout>
        <c:manualLayout>
          <c:xMode val="edge"/>
          <c:yMode val="edge"/>
          <c:x val="0.11299685185185185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7629629629629631E-2"/>
          <c:y val="0.31775555555555557"/>
          <c:w val="0.93179629629629634"/>
          <c:h val="0.48798888888888892"/>
        </c:manualLayout>
      </c:layout>
      <c:barChart>
        <c:barDir val="col"/>
        <c:grouping val="clustered"/>
        <c:varyColors val="0"/>
        <c:ser>
          <c:idx val="0"/>
          <c:order val="0"/>
          <c:tx>
            <c:v>Avance G. Regional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9.4074074074074077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037037037037039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Oriente!$D$22:$E$30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Oriente!$L$22:$L$30</c:f>
              <c:numCache>
                <c:formatCode>0.0%</c:formatCode>
                <c:ptCount val="9"/>
                <c:pt idx="0">
                  <c:v>0.70272611876636926</c:v>
                </c:pt>
                <c:pt idx="1">
                  <c:v>0.76684619343143712</c:v>
                </c:pt>
                <c:pt idx="2">
                  <c:v>0.82939126458506918</c:v>
                </c:pt>
                <c:pt idx="3">
                  <c:v>0.85423616023450988</c:v>
                </c:pt>
                <c:pt idx="4">
                  <c:v>0.75272700791704261</c:v>
                </c:pt>
                <c:pt idx="5">
                  <c:v>0.84774585431236915</c:v>
                </c:pt>
                <c:pt idx="6">
                  <c:v>0.76124019459612935</c:v>
                </c:pt>
                <c:pt idx="7">
                  <c:v>0.5714154436361033</c:v>
                </c:pt>
                <c:pt idx="8">
                  <c:v>9.2164837283591303E-2</c:v>
                </c:pt>
              </c:numCache>
            </c:numRef>
          </c:val>
        </c:ser>
        <c:ser>
          <c:idx val="1"/>
          <c:order val="1"/>
          <c:tx>
            <c:v>Avance G. Locales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59259259259259E-2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59259259259259E-2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111111111111111E-2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Oriente!$D$22:$E$30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Oriente!$M$22:$M$30</c:f>
              <c:numCache>
                <c:formatCode>0.0%</c:formatCode>
                <c:ptCount val="9"/>
                <c:pt idx="0">
                  <c:v>0.58814464987648296</c:v>
                </c:pt>
                <c:pt idx="1">
                  <c:v>0.77082656707625641</c:v>
                </c:pt>
                <c:pt idx="2">
                  <c:v>0.64193753558295008</c:v>
                </c:pt>
                <c:pt idx="3">
                  <c:v>0.74965475404303816</c:v>
                </c:pt>
                <c:pt idx="4">
                  <c:v>0.64609292092227588</c:v>
                </c:pt>
                <c:pt idx="5">
                  <c:v>0.76912076996325618</c:v>
                </c:pt>
                <c:pt idx="6">
                  <c:v>0.64110260309673317</c:v>
                </c:pt>
                <c:pt idx="7">
                  <c:v>0.66472062186008474</c:v>
                </c:pt>
                <c:pt idx="8">
                  <c:v>0.20191154774631498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832192"/>
        <c:axId val="83833984"/>
      </c:barChart>
      <c:catAx>
        <c:axId val="83832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3833984"/>
        <c:crosses val="autoZero"/>
        <c:auto val="1"/>
        <c:lblAlgn val="ctr"/>
        <c:lblOffset val="100"/>
        <c:noMultiLvlLbl val="0"/>
      </c:catAx>
      <c:valAx>
        <c:axId val="83833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38321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882962962962964"/>
          <c:y val="0.20114965277777777"/>
          <c:w val="0.34241256782543272"/>
          <c:h val="6.354409722222222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PE" sz="900"/>
              <a:t>Macro Región Oriente: Transferencias de canon, sobrecanon, regalías, renta de aduanas y participaciones a gobiernos regionales y locales, 2017*</a:t>
            </a:r>
          </a:p>
          <a:p>
            <a:pPr>
              <a:defRPr sz="800"/>
            </a:pPr>
            <a:r>
              <a:rPr lang="es-PE" sz="800" b="0"/>
              <a:t>(Millones S/)</a:t>
            </a:r>
          </a:p>
        </c:rich>
      </c:tx>
      <c:layout>
        <c:manualLayout>
          <c:xMode val="edge"/>
          <c:yMode val="edge"/>
          <c:x val="0.126731557447019"/>
          <c:y val="4.409722222222222E-3"/>
        </c:manualLayout>
      </c:layout>
      <c:overlay val="0"/>
    </c:title>
    <c:autoTitleDeleted val="0"/>
    <c:view3D>
      <c:rotX val="30"/>
      <c:rotY val="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021296754324005"/>
          <c:y val="0.20257083333333334"/>
          <c:w val="0.40079273218859285"/>
          <c:h val="0.75191076388888889"/>
        </c:manualLayout>
      </c:layout>
      <c:pie3DChart>
        <c:varyColors val="1"/>
        <c:ser>
          <c:idx val="1"/>
          <c:order val="0"/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  <c:dLbls>
            <c:dLbl>
              <c:idx val="0"/>
              <c:layout>
                <c:manualLayout>
                  <c:x val="8.4737014080393039E-2"/>
                  <c:y val="6.61454861111111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7.7675781579411199E-2"/>
                  <c:y val="5.2916666666666667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6712022221410849"/>
                  <c:y val="-0.10583368055555556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.16476641626743091"/>
                  <c:y val="-4.409722222222222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462962962962964E-2"/>
                  <c:y val="-4.409722222222222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accent2">
                      <a:shade val="95000"/>
                      <a:satMod val="105000"/>
                    </a:schemeClr>
                  </a:solidFill>
                  <a:prstDash val="solid"/>
                </a:ln>
                <a:effectLst/>
              </c:spPr>
            </c:leaderLines>
          </c:dLbls>
          <c:cat>
            <c:strRef>
              <c:f>Oriente!$S$58:$S$61</c:f>
              <c:strCache>
                <c:ptCount val="4"/>
                <c:pt idx="0">
                  <c:v>San Martín</c:v>
                </c:pt>
                <c:pt idx="1">
                  <c:v>Ucayali</c:v>
                </c:pt>
                <c:pt idx="2">
                  <c:v>Loreto</c:v>
                </c:pt>
                <c:pt idx="3">
                  <c:v>Amazonas</c:v>
                </c:pt>
              </c:strCache>
            </c:strRef>
          </c:cat>
          <c:val>
            <c:numRef>
              <c:f>Oriente!$T$58:$T$61</c:f>
              <c:numCache>
                <c:formatCode>0.0</c:formatCode>
                <c:ptCount val="4"/>
                <c:pt idx="0">
                  <c:v>162.98912458000001</c:v>
                </c:pt>
                <c:pt idx="1">
                  <c:v>102.01192828999999</c:v>
                </c:pt>
                <c:pt idx="2">
                  <c:v>101.31031290999999</c:v>
                </c:pt>
                <c:pt idx="3">
                  <c:v>47.615898769999994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PE" sz="900" b="1" i="0" u="none" strike="noStrike" baseline="0">
                <a:effectLst/>
              </a:rPr>
              <a:t>Macro Región Oriente: Transferencias de canon, sobrecanon, regalías, renta de aduanas y participaciones a gobiernos regionales y locales </a:t>
            </a:r>
          </a:p>
          <a:p>
            <a:pPr>
              <a:defRPr sz="800"/>
            </a:pPr>
            <a:r>
              <a:rPr lang="es-PE" sz="800" b="0" i="0" u="none" strike="noStrike" baseline="0">
                <a:effectLst/>
              </a:rPr>
              <a:t>(Millones S/)</a:t>
            </a:r>
            <a:endParaRPr lang="es-PE" sz="800" b="0"/>
          </a:p>
        </c:rich>
      </c:tx>
      <c:layout>
        <c:manualLayout>
          <c:xMode val="edge"/>
          <c:yMode val="edge"/>
          <c:x val="0.1384674074074074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388888888888892E-2"/>
          <c:y val="0.2535277777777778"/>
          <c:w val="0.9129814814814815"/>
          <c:h val="0.530168055555555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Oriente!$D$57</c:f>
              <c:strCache>
                <c:ptCount val="1"/>
                <c:pt idx="0">
                  <c:v>G. Regional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426922086566706E-3"/>
                  <c:y val="4.40972222222214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5556778494921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25556778494921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627783892474605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95045309531411E-3"/>
                  <c:y val="1.32288194444444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95045309531411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3627783892474605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>
                    <a:solidFill>
                      <a:schemeClr val="accent2">
                        <a:lumMod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Oriente!$C$58:$C$66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Oriente!$D$58:$D$66</c:f>
              <c:numCache>
                <c:formatCode>#,##0.0</c:formatCode>
                <c:ptCount val="9"/>
                <c:pt idx="0">
                  <c:v>341.56050843999998</c:v>
                </c:pt>
                <c:pt idx="1">
                  <c:v>366.78336972</c:v>
                </c:pt>
                <c:pt idx="2">
                  <c:v>341.41042189000001</c:v>
                </c:pt>
                <c:pt idx="3">
                  <c:v>453.53574256000007</c:v>
                </c:pt>
                <c:pt idx="4">
                  <c:v>343.72683551</c:v>
                </c:pt>
                <c:pt idx="5">
                  <c:v>393.67889873000001</c:v>
                </c:pt>
                <c:pt idx="6">
                  <c:v>216.58559568999999</c:v>
                </c:pt>
                <c:pt idx="7">
                  <c:v>109.70305334</c:v>
                </c:pt>
                <c:pt idx="8">
                  <c:v>28.393047029999998</c:v>
                </c:pt>
              </c:numCache>
            </c:numRef>
          </c:val>
        </c:ser>
        <c:ser>
          <c:idx val="0"/>
          <c:order val="1"/>
          <c:tx>
            <c:strRef>
              <c:f>Oriente!$E$57</c:f>
              <c:strCache>
                <c:ptCount val="1"/>
                <c:pt idx="0">
                  <c:v>G. Locales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4.7255567784949323E-3"/>
                  <c:y val="4.40972222222230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25556778494921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25556778494921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475640695522233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>
                    <a:solidFill>
                      <a:schemeClr val="accent2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Oriente!$C$58:$C$66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</c:strCache>
            </c:strRef>
          </c:cat>
          <c:val>
            <c:numRef>
              <c:f>Oriente!$E$58:$E$66</c:f>
              <c:numCache>
                <c:formatCode>#,##0.0</c:formatCode>
                <c:ptCount val="9"/>
                <c:pt idx="0">
                  <c:v>165.26726364999999</c:v>
                </c:pt>
                <c:pt idx="1">
                  <c:v>321.94806706999998</c:v>
                </c:pt>
                <c:pt idx="2">
                  <c:v>374.93590485000004</c:v>
                </c:pt>
                <c:pt idx="3">
                  <c:v>424.74370003999996</c:v>
                </c:pt>
                <c:pt idx="4">
                  <c:v>454.96854955000003</c:v>
                </c:pt>
                <c:pt idx="5">
                  <c:v>530.92736160000004</c:v>
                </c:pt>
                <c:pt idx="6">
                  <c:v>429.75247384000005</c:v>
                </c:pt>
                <c:pt idx="7">
                  <c:v>304.22421121000002</c:v>
                </c:pt>
                <c:pt idx="8">
                  <c:v>112.83954172999999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88672"/>
        <c:axId val="84990208"/>
      </c:barChart>
      <c:catAx>
        <c:axId val="84988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84990208"/>
        <c:crosses val="autoZero"/>
        <c:auto val="1"/>
        <c:lblAlgn val="ctr"/>
        <c:lblOffset val="100"/>
        <c:noMultiLvlLbl val="0"/>
      </c:catAx>
      <c:valAx>
        <c:axId val="8499020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849886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9897775599862695"/>
          <c:y val="0.18701631944444444"/>
          <c:w val="0.21738332375514871"/>
          <c:h val="6.354409722222222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291868</xdr:colOff>
      <xdr:row>4</xdr:row>
      <xdr:rowOff>176892</xdr:rowOff>
    </xdr:from>
    <xdr:to>
      <xdr:col>23</xdr:col>
      <xdr:colOff>72118</xdr:colOff>
      <xdr:row>20</xdr:row>
      <xdr:rowOff>8892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267616</xdr:colOff>
      <xdr:row>21</xdr:row>
      <xdr:rowOff>119102</xdr:rowOff>
    </xdr:from>
    <xdr:to>
      <xdr:col>23</xdr:col>
      <xdr:colOff>51868</xdr:colOff>
      <xdr:row>36</xdr:row>
      <xdr:rowOff>122552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272863</xdr:colOff>
      <xdr:row>37</xdr:row>
      <xdr:rowOff>163045</xdr:rowOff>
    </xdr:from>
    <xdr:to>
      <xdr:col>23</xdr:col>
      <xdr:colOff>53113</xdr:colOff>
      <xdr:row>52</xdr:row>
      <xdr:rowOff>185545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265695</xdr:colOff>
      <xdr:row>54</xdr:row>
      <xdr:rowOff>33618</xdr:rowOff>
    </xdr:from>
    <xdr:to>
      <xdr:col>23</xdr:col>
      <xdr:colOff>47065</xdr:colOff>
      <xdr:row>69</xdr:row>
      <xdr:rowOff>56118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284629</xdr:colOff>
      <xdr:row>70</xdr:row>
      <xdr:rowOff>100853</xdr:rowOff>
    </xdr:from>
    <xdr:to>
      <xdr:col>23</xdr:col>
      <xdr:colOff>39907</xdr:colOff>
      <xdr:row>85</xdr:row>
      <xdr:rowOff>123353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0.88752</cdr:y>
    </cdr:from>
    <cdr:to>
      <cdr:x>1</cdr:x>
      <cdr:y>0.99799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56050"/>
          <a:ext cx="5389114" cy="31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</a:t>
          </a:r>
          <a:r>
            <a:rPr lang="es-PE" sz="750" baseline="0">
              <a:latin typeface="Arial Narrow" panose="020B0606020202030204" pitchFamily="34" charset="0"/>
            </a:rPr>
            <a:t> Al 15 de mayo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0.88953</cdr:y>
    </cdr:from>
    <cdr:to>
      <cdr:x>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61839"/>
          <a:ext cx="5400000" cy="31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 Al 15 de mayo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0.88771</cdr:y>
    </cdr:from>
    <cdr:to>
      <cdr:x>1</cdr:x>
      <cdr:y>0.99801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56607"/>
          <a:ext cx="5400000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 Al 15 de mayo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0.8897</cdr:y>
    </cdr:from>
    <cdr:to>
      <cdr:x>0.99896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62325"/>
          <a:ext cx="5394397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 Al 15 de mayo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0.87753</cdr:y>
    </cdr:from>
    <cdr:to>
      <cdr:x>1</cdr:x>
      <cdr:y>0.98784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2527300"/>
          <a:ext cx="5409863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(*) Al 15 de mayo del 2017</a:t>
          </a: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                                                                                                                                                                            Elaboración: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A2" sqref="A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14" t="s">
        <v>52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2:18" ht="19.5" customHeight="1" x14ac:dyDescent="0.25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2:18" ht="15" customHeight="1" x14ac:dyDescent="0.25">
      <c r="B5" s="116" t="s">
        <v>64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A25" sqref="A25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7" t="s">
        <v>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2:15" x14ac:dyDescent="0.25"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2:15" x14ac:dyDescent="0.25"/>
    <row r="11" spans="2:15" x14ac:dyDescent="0.25">
      <c r="G11" s="9"/>
    </row>
    <row r="12" spans="2:15" x14ac:dyDescent="0.25">
      <c r="F12" s="9" t="s">
        <v>47</v>
      </c>
      <c r="G12" s="9"/>
      <c r="J12" s="2">
        <v>2</v>
      </c>
    </row>
    <row r="13" spans="2:15" x14ac:dyDescent="0.25">
      <c r="G13" s="9" t="s">
        <v>48</v>
      </c>
      <c r="J13" s="2">
        <v>3</v>
      </c>
    </row>
    <row r="14" spans="2:15" x14ac:dyDescent="0.25">
      <c r="G14" s="9" t="s">
        <v>49</v>
      </c>
      <c r="J14" s="2">
        <v>4</v>
      </c>
    </row>
    <row r="15" spans="2:15" x14ac:dyDescent="0.25">
      <c r="G15" s="9" t="s">
        <v>50</v>
      </c>
      <c r="J15" s="2">
        <v>5</v>
      </c>
    </row>
    <row r="16" spans="2:15" x14ac:dyDescent="0.25">
      <c r="G16" s="9" t="s">
        <v>51</v>
      </c>
      <c r="J16" s="2">
        <v>6</v>
      </c>
    </row>
    <row r="17" spans="7:10" x14ac:dyDescent="0.25">
      <c r="G17" s="9"/>
      <c r="J17" s="2"/>
    </row>
    <row r="18" spans="7:10" x14ac:dyDescent="0.25">
      <c r="G18" s="23"/>
      <c r="J18" s="2"/>
    </row>
    <row r="19" spans="7:10" x14ac:dyDescent="0.25">
      <c r="G19" s="9"/>
      <c r="J19" s="2"/>
    </row>
    <row r="20" spans="7:10" x14ac:dyDescent="0.25">
      <c r="G20" s="9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mazonas'!A1" display="Amazonas"/>
    <hyperlink ref="G14" location="'Loreto'!A1" display="Loreto"/>
    <hyperlink ref="G15" location="'San Martín'!A1" display="San Martín"/>
    <hyperlink ref="G16" location="'Ucayali'!A1" display="Ucayali"/>
    <hyperlink ref="F12" location="'Oriente'!A1" display="Orien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86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16" x14ac:dyDescent="0.25">
      <c r="B1" s="135" t="s">
        <v>65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1"/>
    </row>
    <row r="2" spans="2:16" x14ac:dyDescent="0.25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1"/>
    </row>
    <row r="3" spans="2:16" x14ac:dyDescent="0.25">
      <c r="B3" s="5" t="str">
        <f>+B6</f>
        <v>1. Macro Región Oriente: Presupuesto y ejecución de Canon y otros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+B53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13" t="s">
        <v>55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x14ac:dyDescent="0.25">
      <c r="B7" s="16"/>
      <c r="C7" s="136" t="s">
        <v>66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7"/>
    </row>
    <row r="8" spans="2:16" x14ac:dyDescent="0.25">
      <c r="B8" s="1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7"/>
    </row>
    <row r="9" spans="2:16" x14ac:dyDescent="0.25"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2:16" x14ac:dyDescent="0.25">
      <c r="B10" s="16"/>
      <c r="C10" s="12"/>
      <c r="D10" s="12"/>
      <c r="E10" s="12"/>
      <c r="F10" s="158" t="s">
        <v>67</v>
      </c>
      <c r="G10" s="159" t="s">
        <v>31</v>
      </c>
      <c r="H10" s="160"/>
      <c r="I10" s="159" t="s">
        <v>32</v>
      </c>
      <c r="J10" s="160"/>
      <c r="K10" s="159" t="s">
        <v>68</v>
      </c>
      <c r="L10" s="160"/>
      <c r="M10" s="12"/>
      <c r="N10" s="12"/>
      <c r="O10" s="12"/>
      <c r="P10" s="17"/>
    </row>
    <row r="11" spans="2:16" x14ac:dyDescent="0.25">
      <c r="B11" s="16"/>
      <c r="C11" s="12"/>
      <c r="D11" s="12"/>
      <c r="E11" s="12"/>
      <c r="F11" s="161"/>
      <c r="G11" s="162" t="s">
        <v>34</v>
      </c>
      <c r="H11" s="162" t="s">
        <v>35</v>
      </c>
      <c r="I11" s="162" t="s">
        <v>34</v>
      </c>
      <c r="J11" s="162" t="s">
        <v>35</v>
      </c>
      <c r="K11" s="162" t="s">
        <v>34</v>
      </c>
      <c r="L11" s="162" t="s">
        <v>35</v>
      </c>
      <c r="M11" s="12"/>
      <c r="N11" s="12"/>
      <c r="O11" s="12"/>
      <c r="P11" s="17"/>
    </row>
    <row r="12" spans="2:16" x14ac:dyDescent="0.25">
      <c r="B12" s="16"/>
      <c r="C12" s="12"/>
      <c r="D12" s="12"/>
      <c r="E12" s="12"/>
      <c r="F12" s="48" t="s">
        <v>48</v>
      </c>
      <c r="G12" s="51">
        <f>+(Amazonas!D21)/1000000</f>
        <v>1.2774529999999999</v>
      </c>
      <c r="H12" s="49">
        <f>+Amazonas!J21</f>
        <v>0.14820506116467691</v>
      </c>
      <c r="I12" s="51">
        <f>+(Amazonas!E21)/1000000</f>
        <v>53.255887000000001</v>
      </c>
      <c r="J12" s="49">
        <f>+Amazonas!K21</f>
        <v>0.19240652211839041</v>
      </c>
      <c r="K12" s="51">
        <f>+(I12+G12)</f>
        <v>54.533340000000003</v>
      </c>
      <c r="L12" s="49">
        <f>+Amazonas!L21</f>
        <v>0.19137109518690767</v>
      </c>
      <c r="M12" s="12"/>
      <c r="N12" s="12"/>
      <c r="O12" s="12"/>
      <c r="P12" s="17"/>
    </row>
    <row r="13" spans="2:16" x14ac:dyDescent="0.25">
      <c r="B13" s="16"/>
      <c r="C13" s="12"/>
      <c r="D13" s="12"/>
      <c r="E13" s="12"/>
      <c r="F13" s="48" t="s">
        <v>49</v>
      </c>
      <c r="G13" s="51">
        <f>+(Loreto!D21)/1000000</f>
        <v>70.129677000000001</v>
      </c>
      <c r="H13" s="49">
        <f>+Loreto!J21</f>
        <v>6.2527466082582986E-2</v>
      </c>
      <c r="I13" s="51">
        <f>+(Loreto!E21)/1000000</f>
        <v>62.264657999999997</v>
      </c>
      <c r="J13" s="49">
        <f>+Loreto!K21</f>
        <v>0.24797503906630308</v>
      </c>
      <c r="K13" s="51">
        <f>+(I13+G13)</f>
        <v>132.39433500000001</v>
      </c>
      <c r="L13" s="49">
        <f>+Loreto!L21</f>
        <v>0.14974290251920522</v>
      </c>
      <c r="M13" s="12"/>
      <c r="N13" s="12"/>
      <c r="O13" s="12"/>
      <c r="P13" s="17"/>
    </row>
    <row r="14" spans="2:16" x14ac:dyDescent="0.25">
      <c r="B14" s="16"/>
      <c r="C14" s="12"/>
      <c r="D14" s="12"/>
      <c r="E14" s="12"/>
      <c r="F14" s="48" t="s">
        <v>50</v>
      </c>
      <c r="G14" s="51">
        <f>+('San Martín'!D21)/1000000</f>
        <v>88.599780999999993</v>
      </c>
      <c r="H14" s="49">
        <f>+'San Martín'!J21</f>
        <v>8.8019687091551613E-2</v>
      </c>
      <c r="I14" s="51">
        <f>+('San Martín'!E21)/1000000</f>
        <v>106.899209</v>
      </c>
      <c r="J14" s="49">
        <f>+'San Martín'!K21</f>
        <v>0.15497529079003755</v>
      </c>
      <c r="K14" s="51">
        <f>+(I14+G14)</f>
        <v>195.49898999999999</v>
      </c>
      <c r="L14" s="49">
        <f>+'San Martín'!L21</f>
        <v>0.12463113492299883</v>
      </c>
      <c r="M14" s="12"/>
      <c r="N14" s="12"/>
      <c r="O14" s="12"/>
      <c r="P14" s="17"/>
    </row>
    <row r="15" spans="2:16" x14ac:dyDescent="0.25">
      <c r="B15" s="16"/>
      <c r="C15" s="12"/>
      <c r="D15" s="12"/>
      <c r="E15" s="12"/>
      <c r="F15" s="48" t="s">
        <v>51</v>
      </c>
      <c r="G15" s="51">
        <f>+(Ucayali!D21)/1000000</f>
        <v>27.579825</v>
      </c>
      <c r="H15" s="49">
        <f>+Ucayali!J21</f>
        <v>0.17824696132045798</v>
      </c>
      <c r="I15" s="51">
        <f>+(Ucayali!E21)/1000000</f>
        <v>82.592349999999996</v>
      </c>
      <c r="J15" s="49">
        <f>+Ucayali!K21</f>
        <v>0.23406367538882233</v>
      </c>
      <c r="K15" s="51">
        <f>+(I15+G15)</f>
        <v>110.172175</v>
      </c>
      <c r="L15" s="49">
        <f>+Ucayali!L21</f>
        <v>0.22009086232526498</v>
      </c>
      <c r="M15" s="12"/>
      <c r="N15" s="12"/>
      <c r="O15" s="12"/>
      <c r="P15" s="17"/>
    </row>
    <row r="16" spans="2:16" x14ac:dyDescent="0.25">
      <c r="B16" s="16"/>
      <c r="C16" s="12"/>
      <c r="D16" s="12"/>
      <c r="E16" s="12"/>
      <c r="F16" s="163" t="s">
        <v>69</v>
      </c>
      <c r="G16" s="164">
        <f>SUM(G12:G15)</f>
        <v>187.586736</v>
      </c>
      <c r="H16" s="165">
        <f>+(H12*G12+H13*G13+H14*G14+H15*G15)/G16</f>
        <v>9.2164837283591303E-2</v>
      </c>
      <c r="I16" s="164">
        <f>SUM(I12:I15)</f>
        <v>305.01210400000002</v>
      </c>
      <c r="J16" s="165">
        <f>+(J12*I12+J13*I13+J14*I14+J15*I15)/I16</f>
        <v>0.20191154774631498</v>
      </c>
      <c r="K16" s="166">
        <f>SUM(K12:K15)</f>
        <v>492.59884</v>
      </c>
      <c r="L16" s="165">
        <f>+(L12*K12+L13*K13+L14*K14+L15*K15)/K16</f>
        <v>0.16011886467292535</v>
      </c>
      <c r="M16" s="12"/>
      <c r="N16" s="12"/>
      <c r="O16" s="12"/>
      <c r="P16" s="17"/>
    </row>
    <row r="17" spans="2:16" x14ac:dyDescent="0.25">
      <c r="B17" s="16"/>
      <c r="C17" s="12"/>
      <c r="D17" s="12"/>
      <c r="E17" s="12"/>
      <c r="F17" s="131" t="s">
        <v>70</v>
      </c>
      <c r="G17" s="131"/>
      <c r="H17" s="131"/>
      <c r="I17" s="131"/>
      <c r="J17" s="131"/>
      <c r="K17" s="131"/>
      <c r="L17" s="131"/>
      <c r="M17" s="12"/>
      <c r="N17" s="12"/>
      <c r="O17" s="12"/>
      <c r="P17" s="17"/>
    </row>
    <row r="18" spans="2:16" x14ac:dyDescent="0.25">
      <c r="B18" s="16"/>
      <c r="C18" s="12"/>
      <c r="D18" s="12"/>
      <c r="E18" s="12"/>
      <c r="F18" s="119" t="s">
        <v>71</v>
      </c>
      <c r="G18" s="119"/>
      <c r="H18" s="119"/>
      <c r="I18" s="119"/>
      <c r="J18" s="119"/>
      <c r="K18" s="119"/>
      <c r="L18" s="119"/>
      <c r="M18" s="12"/>
      <c r="N18" s="12"/>
      <c r="O18" s="12"/>
      <c r="P18" s="17"/>
    </row>
    <row r="19" spans="2:16" x14ac:dyDescent="0.25">
      <c r="B19" s="16"/>
      <c r="C19" s="1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12"/>
      <c r="P19" s="17"/>
    </row>
    <row r="20" spans="2:16" x14ac:dyDescent="0.25">
      <c r="B20" s="16"/>
      <c r="C20" s="63"/>
      <c r="D20" s="133" t="s">
        <v>2</v>
      </c>
      <c r="E20" s="133"/>
      <c r="F20" s="132" t="s">
        <v>58</v>
      </c>
      <c r="G20" s="132"/>
      <c r="H20" s="132"/>
      <c r="I20" s="132" t="s">
        <v>59</v>
      </c>
      <c r="J20" s="132"/>
      <c r="K20" s="132"/>
      <c r="L20" s="133" t="s">
        <v>6</v>
      </c>
      <c r="M20" s="133" t="s">
        <v>37</v>
      </c>
      <c r="N20" s="134" t="s">
        <v>8</v>
      </c>
      <c r="O20" s="12"/>
      <c r="P20" s="17"/>
    </row>
    <row r="21" spans="2:16" x14ac:dyDescent="0.25">
      <c r="B21" s="16"/>
      <c r="C21" s="63"/>
      <c r="D21" s="133"/>
      <c r="E21" s="133"/>
      <c r="F21" s="68" t="s">
        <v>9</v>
      </c>
      <c r="G21" s="68" t="s">
        <v>10</v>
      </c>
      <c r="H21" s="68" t="s">
        <v>1</v>
      </c>
      <c r="I21" s="68" t="s">
        <v>9</v>
      </c>
      <c r="J21" s="68" t="s">
        <v>10</v>
      </c>
      <c r="K21" s="68" t="s">
        <v>1</v>
      </c>
      <c r="L21" s="133"/>
      <c r="M21" s="133"/>
      <c r="N21" s="134"/>
      <c r="O21" s="12"/>
      <c r="P21" s="17"/>
    </row>
    <row r="22" spans="2:16" x14ac:dyDescent="0.25">
      <c r="B22" s="16"/>
      <c r="C22" s="63"/>
      <c r="D22" s="122">
        <v>2009</v>
      </c>
      <c r="E22" s="122"/>
      <c r="F22" s="64">
        <f>+(Amazonas!D13+Loreto!D13+'San Martín'!D13+Ucayali!D13)/1000000</f>
        <v>621.87154899999996</v>
      </c>
      <c r="G22" s="64">
        <f>+(Amazonas!E13+Loreto!E13+'San Martín'!E13+Ucayali!E13)/1000000</f>
        <v>319.07481100000001</v>
      </c>
      <c r="H22" s="65">
        <f>+G22+F22</f>
        <v>940.94635999999991</v>
      </c>
      <c r="I22" s="64">
        <f>+(Amazonas!G13+Loreto!G13+'San Martín'!G13+Ucayali!G13)/1000000</f>
        <v>437.00538</v>
      </c>
      <c r="J22" s="64">
        <f>+(Amazonas!H13+Loreto!H13+'San Martín'!H13+Ucayali!H13)/1000000</f>
        <v>187.66214299999999</v>
      </c>
      <c r="K22" s="65">
        <f t="shared" ref="K22:K30" si="0">+J22+I22</f>
        <v>624.66752299999996</v>
      </c>
      <c r="L22" s="66">
        <f>+I22/F22</f>
        <v>0.70272611876636926</v>
      </c>
      <c r="M22" s="66">
        <f t="shared" ref="M22:N22" si="1">+J22/G22</f>
        <v>0.58814464987648296</v>
      </c>
      <c r="N22" s="67">
        <f t="shared" si="1"/>
        <v>0.66387155480361282</v>
      </c>
      <c r="O22" s="12"/>
      <c r="P22" s="17"/>
    </row>
    <row r="23" spans="2:16" x14ac:dyDescent="0.25">
      <c r="B23" s="16"/>
      <c r="C23" s="63"/>
      <c r="D23" s="122">
        <v>2010</v>
      </c>
      <c r="E23" s="122"/>
      <c r="F23" s="64">
        <f>+(Amazonas!D14+Loreto!D14+'San Martín'!D14+Ucayali!D14)/1000000</f>
        <v>594.26125200000001</v>
      </c>
      <c r="G23" s="64">
        <f>+(Amazonas!E14+Loreto!E14+'San Martín'!E14+Ucayali!E14)/1000000</f>
        <v>391.27676300000002</v>
      </c>
      <c r="H23" s="65">
        <f t="shared" ref="H23:H30" si="2">+G23+F23</f>
        <v>985.53801500000009</v>
      </c>
      <c r="I23" s="64">
        <f>+(Amazonas!G14+Loreto!G14+'San Martín'!G14+Ucayali!G14)/1000000</f>
        <v>455.70697899999999</v>
      </c>
      <c r="J23" s="64">
        <f>+(Amazonas!H14+Loreto!H14+'San Martín'!H14+Ucayali!H14)/1000000</f>
        <v>301.60652399999998</v>
      </c>
      <c r="K23" s="65">
        <f t="shared" si="0"/>
        <v>757.31350299999997</v>
      </c>
      <c r="L23" s="66">
        <f t="shared" ref="L23:L30" si="3">+I23/F23</f>
        <v>0.76684619343143712</v>
      </c>
      <c r="M23" s="66">
        <f t="shared" ref="M23:M30" si="4">+J23/G23</f>
        <v>0.77082656707625641</v>
      </c>
      <c r="N23" s="67">
        <f t="shared" ref="N23:N30" si="5">+K23/H23</f>
        <v>0.76842647515732809</v>
      </c>
      <c r="O23" s="12"/>
      <c r="P23" s="17"/>
    </row>
    <row r="24" spans="2:16" x14ac:dyDescent="0.25">
      <c r="B24" s="16"/>
      <c r="C24" s="63"/>
      <c r="D24" s="122">
        <v>2011</v>
      </c>
      <c r="E24" s="122"/>
      <c r="F24" s="64">
        <f>+(Amazonas!D15+Loreto!D15+'San Martín'!D15+Ucayali!D15)/1000000</f>
        <v>524.992028</v>
      </c>
      <c r="G24" s="64">
        <f>+(Amazonas!E15+Loreto!E15+'San Martín'!E15+Ucayali!E15)/1000000</f>
        <v>472.44888200000003</v>
      </c>
      <c r="H24" s="65">
        <f t="shared" si="2"/>
        <v>997.44091000000003</v>
      </c>
      <c r="I24" s="64">
        <f>+(Amazonas!G15+Loreto!G15+'San Martín'!G15+Ucayali!G15)/1000000</f>
        <v>435.42380200000002</v>
      </c>
      <c r="J24" s="64">
        <f>+(Amazonas!H15+Loreto!H15+'San Martín'!H15+Ucayali!H15)/1000000</f>
        <v>303.28267099999999</v>
      </c>
      <c r="K24" s="65">
        <f t="shared" si="0"/>
        <v>738.70647299999996</v>
      </c>
      <c r="L24" s="66">
        <f t="shared" si="3"/>
        <v>0.82939126458506918</v>
      </c>
      <c r="M24" s="66">
        <f t="shared" si="4"/>
        <v>0.64193753558295008</v>
      </c>
      <c r="N24" s="67">
        <f t="shared" si="5"/>
        <v>0.74060173950555119</v>
      </c>
      <c r="O24" s="12"/>
      <c r="P24" s="17"/>
    </row>
    <row r="25" spans="2:16" x14ac:dyDescent="0.25">
      <c r="B25" s="16"/>
      <c r="C25" s="63"/>
      <c r="D25" s="122">
        <v>2012</v>
      </c>
      <c r="E25" s="122"/>
      <c r="F25" s="64">
        <f>+(Amazonas!D16+Loreto!D16+'San Martín'!D16+Ucayali!D16)/1000000</f>
        <v>491.58656300000001</v>
      </c>
      <c r="G25" s="64">
        <f>+(Amazonas!E16+Loreto!E16+'San Martín'!E16+Ucayali!E16)/1000000</f>
        <v>614.65527899999995</v>
      </c>
      <c r="H25" s="65">
        <f t="shared" si="2"/>
        <v>1106.2418419999999</v>
      </c>
      <c r="I25" s="64">
        <f>+(Amazonas!G16+Loreto!G16+'San Martín'!G16+Ucayali!G16)/1000000</f>
        <v>419.93101799999999</v>
      </c>
      <c r="J25" s="64">
        <f>+(Amazonas!H16+Loreto!H16+'San Martín'!H16+Ucayali!H16)/1000000</f>
        <v>460.77925199999999</v>
      </c>
      <c r="K25" s="65">
        <f t="shared" si="0"/>
        <v>880.71027000000004</v>
      </c>
      <c r="L25" s="66">
        <f t="shared" si="3"/>
        <v>0.85423616023450988</v>
      </c>
      <c r="M25" s="66">
        <f t="shared" si="4"/>
        <v>0.74965475404303816</v>
      </c>
      <c r="N25" s="67">
        <f t="shared" si="5"/>
        <v>0.79612814898390016</v>
      </c>
      <c r="O25" s="12"/>
      <c r="P25" s="17"/>
    </row>
    <row r="26" spans="2:16" x14ac:dyDescent="0.25">
      <c r="B26" s="16"/>
      <c r="C26" s="63"/>
      <c r="D26" s="122">
        <v>2013</v>
      </c>
      <c r="E26" s="122"/>
      <c r="F26" s="64">
        <f>+(Amazonas!D17+Loreto!D17+'San Martín'!D17+Ucayali!D17)/1000000</f>
        <v>501.35388</v>
      </c>
      <c r="G26" s="64">
        <f>+(Amazonas!E17+Loreto!E17+'San Martín'!E17+Ucayali!E17)/1000000</f>
        <v>673.14538500000003</v>
      </c>
      <c r="H26" s="65">
        <f t="shared" si="2"/>
        <v>1174.4992649999999</v>
      </c>
      <c r="I26" s="64">
        <f>+(Amazonas!G17+Loreto!G17+'San Martín'!G17+Ucayali!G17)/1000000</f>
        <v>377.38260600000001</v>
      </c>
      <c r="J26" s="64">
        <f>+(Amazonas!H17+Loreto!H17+'San Martín'!H17+Ucayali!H17)/1000000</f>
        <v>434.914468</v>
      </c>
      <c r="K26" s="65">
        <f t="shared" si="0"/>
        <v>812.29707400000007</v>
      </c>
      <c r="L26" s="66">
        <f t="shared" si="3"/>
        <v>0.75272700791704261</v>
      </c>
      <c r="M26" s="66">
        <f t="shared" si="4"/>
        <v>0.64609292092227588</v>
      </c>
      <c r="N26" s="67">
        <f t="shared" si="5"/>
        <v>0.69161139406928462</v>
      </c>
      <c r="O26" s="12"/>
      <c r="P26" s="17"/>
    </row>
    <row r="27" spans="2:16" x14ac:dyDescent="0.25">
      <c r="B27" s="16"/>
      <c r="C27" s="63"/>
      <c r="D27" s="122">
        <v>2014</v>
      </c>
      <c r="E27" s="122"/>
      <c r="F27" s="64">
        <f>+(Amazonas!D18+Loreto!D18+'San Martín'!D18+Ucayali!D18)/1000000</f>
        <v>518.67969600000004</v>
      </c>
      <c r="G27" s="64">
        <f>+(Amazonas!E18+Loreto!E18+'San Martín'!E18+Ucayali!E18)/1000000</f>
        <v>724.941191</v>
      </c>
      <c r="H27" s="65">
        <f t="shared" si="2"/>
        <v>1243.620887</v>
      </c>
      <c r="I27" s="64">
        <f>+(Amazonas!G18+Loreto!G18+'San Martín'!G18+Ucayali!G18)/1000000</f>
        <v>439.70856199999997</v>
      </c>
      <c r="J27" s="64">
        <f>+(Amazonas!H18+Loreto!H18+'San Martín'!H18+Ucayali!H18)/1000000</f>
        <v>557.56732699999998</v>
      </c>
      <c r="K27" s="65">
        <f t="shared" si="0"/>
        <v>997.27588900000001</v>
      </c>
      <c r="L27" s="66">
        <f t="shared" si="3"/>
        <v>0.84774585431236915</v>
      </c>
      <c r="M27" s="66">
        <f t="shared" si="4"/>
        <v>0.76912076996325618</v>
      </c>
      <c r="N27" s="67">
        <f t="shared" si="5"/>
        <v>0.8019131066588463</v>
      </c>
      <c r="O27" s="12"/>
      <c r="P27" s="17"/>
    </row>
    <row r="28" spans="2:16" x14ac:dyDescent="0.25">
      <c r="B28" s="16"/>
      <c r="C28" s="63"/>
      <c r="D28" s="122">
        <v>2015</v>
      </c>
      <c r="E28" s="122"/>
      <c r="F28" s="64">
        <f>+(Amazonas!D19+Loreto!D19+'San Martín'!D19+Ucayali!D19)/1000000</f>
        <v>306.90538500000002</v>
      </c>
      <c r="G28" s="64">
        <f>+(Amazonas!E19+Loreto!E19+'San Martín'!E19+Ucayali!E19)/1000000</f>
        <v>587.29162099999996</v>
      </c>
      <c r="H28" s="65">
        <f t="shared" si="2"/>
        <v>894.19700599999999</v>
      </c>
      <c r="I28" s="64">
        <f>+(Amazonas!G19+Loreto!G19+'San Martín'!G19+Ucayali!G19)/1000000</f>
        <v>233.628715</v>
      </c>
      <c r="J28" s="64">
        <f>+(Amazonas!H19+Loreto!H19+'San Martín'!H19+Ucayali!H19)/1000000</f>
        <v>376.51418699999999</v>
      </c>
      <c r="K28" s="65">
        <f t="shared" si="0"/>
        <v>610.14290200000005</v>
      </c>
      <c r="L28" s="66">
        <f t="shared" si="3"/>
        <v>0.76124019459612935</v>
      </c>
      <c r="M28" s="66">
        <f t="shared" si="4"/>
        <v>0.64110260309673317</v>
      </c>
      <c r="N28" s="67">
        <f t="shared" si="5"/>
        <v>0.68233610480239082</v>
      </c>
      <c r="O28" s="12"/>
      <c r="P28" s="17"/>
    </row>
    <row r="29" spans="2:16" x14ac:dyDescent="0.25">
      <c r="B29" s="16"/>
      <c r="C29" s="63"/>
      <c r="D29" s="122">
        <v>2016</v>
      </c>
      <c r="E29" s="122"/>
      <c r="F29" s="64">
        <f>+(Amazonas!D20+Loreto!D20+'San Martín'!D20+Ucayali!D20)/1000000</f>
        <v>270.320718</v>
      </c>
      <c r="G29" s="64">
        <f>+(Amazonas!E20+Loreto!E20+'San Martín'!E20+Ucayali!E20)/1000000</f>
        <v>530.64708299999995</v>
      </c>
      <c r="H29" s="65">
        <f t="shared" si="2"/>
        <v>800.96780100000001</v>
      </c>
      <c r="I29" s="64">
        <f>+(Amazonas!G20+Loreto!G20+'San Martín'!G20+Ucayali!G20)/1000000</f>
        <v>154.46543299999999</v>
      </c>
      <c r="J29" s="64">
        <f>+(Amazonas!H20+Loreto!H20+'San Martín'!H20+Ucayali!H20)/1000000</f>
        <v>352.73205899999999</v>
      </c>
      <c r="K29" s="65">
        <f t="shared" si="0"/>
        <v>507.19749200000001</v>
      </c>
      <c r="L29" s="66">
        <f t="shared" si="3"/>
        <v>0.5714154436361033</v>
      </c>
      <c r="M29" s="66">
        <f t="shared" si="4"/>
        <v>0.66472062186008474</v>
      </c>
      <c r="N29" s="67">
        <f t="shared" si="5"/>
        <v>0.63323081323215391</v>
      </c>
      <c r="O29" s="12"/>
      <c r="P29" s="17"/>
    </row>
    <row r="30" spans="2:16" ht="15.75" thickBot="1" x14ac:dyDescent="0.3">
      <c r="B30" s="16"/>
      <c r="C30" s="63"/>
      <c r="D30" s="123" t="s">
        <v>11</v>
      </c>
      <c r="E30" s="123"/>
      <c r="F30" s="64">
        <f>+(Amazonas!D21+Loreto!D21+'San Martín'!D21+Ucayali!D21)/1000000</f>
        <v>187.586736</v>
      </c>
      <c r="G30" s="64">
        <f>+(Amazonas!E21+Loreto!E21+'San Martín'!E21+Ucayali!E21)/1000000</f>
        <v>305.01210400000002</v>
      </c>
      <c r="H30" s="69">
        <f t="shared" si="2"/>
        <v>492.59884</v>
      </c>
      <c r="I30" s="64">
        <f>+(Amazonas!G21+Loreto!G21+'San Martín'!G21+Ucayali!G21)/1000000</f>
        <v>17.288900999999999</v>
      </c>
      <c r="J30" s="64">
        <f>+(Amazonas!H21+Loreto!H21+'San Martín'!H21+Ucayali!H21)/1000000</f>
        <v>61.585465999999997</v>
      </c>
      <c r="K30" s="69">
        <f t="shared" si="0"/>
        <v>78.874366999999992</v>
      </c>
      <c r="L30" s="70">
        <f t="shared" si="3"/>
        <v>9.2164837283591303E-2</v>
      </c>
      <c r="M30" s="70">
        <f t="shared" si="4"/>
        <v>0.20191154774631498</v>
      </c>
      <c r="N30" s="71">
        <f t="shared" si="5"/>
        <v>0.16011886467292533</v>
      </c>
      <c r="O30" s="12"/>
      <c r="P30" s="17"/>
    </row>
    <row r="31" spans="2:16" ht="15.75" thickTop="1" x14ac:dyDescent="0.25">
      <c r="B31" s="16"/>
      <c r="C31" s="63"/>
      <c r="D31" s="130" t="s">
        <v>1</v>
      </c>
      <c r="E31" s="130"/>
      <c r="F31" s="72">
        <f t="shared" ref="F31:J31" si="6">SUM(F22:F30)</f>
        <v>4017.5578070000001</v>
      </c>
      <c r="G31" s="72">
        <f t="shared" si="6"/>
        <v>4618.4931190000007</v>
      </c>
      <c r="H31" s="73">
        <f>SUM(H22:H30)</f>
        <v>8636.0509259999999</v>
      </c>
      <c r="I31" s="72">
        <f t="shared" si="6"/>
        <v>2970.5413959999992</v>
      </c>
      <c r="J31" s="72">
        <f t="shared" si="6"/>
        <v>3036.6440969999999</v>
      </c>
      <c r="K31" s="73">
        <f>SUM(K22:K30)</f>
        <v>6007.185493</v>
      </c>
      <c r="L31" s="74">
        <f>+I31/F31</f>
        <v>0.73938983300358996</v>
      </c>
      <c r="M31" s="74">
        <f t="shared" ref="M31" si="7">+J31/G31</f>
        <v>0.65749672431199724</v>
      </c>
      <c r="N31" s="75">
        <f>+K31/H31</f>
        <v>0.69559403302203271</v>
      </c>
      <c r="O31" s="12"/>
      <c r="P31" s="17"/>
    </row>
    <row r="32" spans="2:16" x14ac:dyDescent="0.25">
      <c r="B32" s="16"/>
      <c r="C32" s="63"/>
      <c r="D32" s="119" t="s">
        <v>70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"/>
      <c r="P32" s="17"/>
    </row>
    <row r="33" spans="2:16" x14ac:dyDescent="0.25">
      <c r="B33" s="16"/>
      <c r="C33" s="63"/>
      <c r="D33" s="129" t="s">
        <v>72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"/>
      <c r="P33" s="17"/>
    </row>
    <row r="34" spans="2:16" x14ac:dyDescent="0.25">
      <c r="B34" s="1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7"/>
    </row>
    <row r="35" spans="2:16" x14ac:dyDescent="0.25">
      <c r="B35" s="16"/>
      <c r="C35" s="124" t="s">
        <v>60</v>
      </c>
      <c r="D35" s="124"/>
      <c r="E35" s="124"/>
      <c r="F35" s="124"/>
      <c r="G35" s="124"/>
      <c r="H35" s="54"/>
      <c r="I35" s="124" t="s">
        <v>38</v>
      </c>
      <c r="J35" s="124"/>
      <c r="K35" s="124"/>
      <c r="L35" s="124"/>
      <c r="M35" s="124"/>
      <c r="N35" s="124"/>
      <c r="O35" s="124"/>
      <c r="P35" s="36"/>
    </row>
    <row r="36" spans="2:16" x14ac:dyDescent="0.25">
      <c r="B36" s="16"/>
      <c r="C36" s="124" t="s">
        <v>39</v>
      </c>
      <c r="D36" s="124"/>
      <c r="E36" s="124"/>
      <c r="F36" s="124"/>
      <c r="G36" s="124"/>
      <c r="H36" s="54"/>
      <c r="I36" s="124" t="s">
        <v>42</v>
      </c>
      <c r="J36" s="124"/>
      <c r="K36" s="124"/>
      <c r="L36" s="124"/>
      <c r="M36" s="124"/>
      <c r="N36" s="124"/>
      <c r="O36" s="124"/>
      <c r="P36" s="36"/>
    </row>
    <row r="37" spans="2:16" x14ac:dyDescent="0.25">
      <c r="B37" s="16"/>
      <c r="C37" s="126" t="s">
        <v>30</v>
      </c>
      <c r="D37" s="127" t="s">
        <v>31</v>
      </c>
      <c r="E37" s="127"/>
      <c r="F37" s="127" t="s">
        <v>32</v>
      </c>
      <c r="G37" s="127"/>
      <c r="H37" s="54"/>
      <c r="I37" s="126" t="s">
        <v>2</v>
      </c>
      <c r="J37" s="127" t="s">
        <v>40</v>
      </c>
      <c r="K37" s="127"/>
      <c r="L37" s="127"/>
      <c r="M37" s="128" t="s">
        <v>12</v>
      </c>
      <c r="N37" s="128"/>
      <c r="O37" s="128"/>
      <c r="P37" s="36"/>
    </row>
    <row r="38" spans="2:16" x14ac:dyDescent="0.25">
      <c r="B38" s="16"/>
      <c r="C38" s="126"/>
      <c r="D38" s="79" t="s">
        <v>41</v>
      </c>
      <c r="E38" s="79" t="s">
        <v>12</v>
      </c>
      <c r="F38" s="79" t="s">
        <v>41</v>
      </c>
      <c r="G38" s="79" t="s">
        <v>12</v>
      </c>
      <c r="H38" s="54"/>
      <c r="I38" s="126"/>
      <c r="J38" s="79" t="s">
        <v>9</v>
      </c>
      <c r="K38" s="79" t="s">
        <v>10</v>
      </c>
      <c r="L38" s="79" t="s">
        <v>1</v>
      </c>
      <c r="M38" s="79" t="s">
        <v>9</v>
      </c>
      <c r="N38" s="79" t="s">
        <v>10</v>
      </c>
      <c r="O38" s="79" t="s">
        <v>1</v>
      </c>
      <c r="P38" s="36"/>
    </row>
    <row r="39" spans="2:16" x14ac:dyDescent="0.25">
      <c r="B39" s="16"/>
      <c r="C39" s="80" t="s">
        <v>48</v>
      </c>
      <c r="D39" s="64">
        <f>+Amazonas!P20/1000000</f>
        <v>708.48322900000005</v>
      </c>
      <c r="E39" s="66">
        <f>+Amazonas!M20</f>
        <v>1.5400567795232878E-2</v>
      </c>
      <c r="F39" s="64">
        <f>+Amazonas!Q20/1000000</f>
        <v>345.94746199999997</v>
      </c>
      <c r="G39" s="66">
        <f>+Amazonas!N20</f>
        <v>0.16127867704952262</v>
      </c>
      <c r="H39" s="54"/>
      <c r="I39" s="84">
        <v>2009</v>
      </c>
      <c r="J39" s="81">
        <f>+(Amazonas!P13+Loreto!P13+'San Martín'!P13+Ucayali!P13)/1000000</f>
        <v>2079.0077809999998</v>
      </c>
      <c r="K39" s="81">
        <f>+(Amazonas!Q13+Loreto!Q13+'San Martín'!Q13+Ucayali!Q13)/1000000</f>
        <v>1047.8773450000001</v>
      </c>
      <c r="L39" s="85">
        <f>+K39+J39</f>
        <v>3126.8851260000001</v>
      </c>
      <c r="M39" s="86">
        <f>+I22/J39</f>
        <v>0.21019901127536955</v>
      </c>
      <c r="N39" s="86">
        <f t="shared" ref="N39:O39" si="8">+J22/K39</f>
        <v>0.17908789029120575</v>
      </c>
      <c r="O39" s="83">
        <f t="shared" si="8"/>
        <v>0.19977309617353686</v>
      </c>
      <c r="P39" s="36"/>
    </row>
    <row r="40" spans="2:16" x14ac:dyDescent="0.25">
      <c r="B40" s="16"/>
      <c r="C40" s="80" t="s">
        <v>49</v>
      </c>
      <c r="D40" s="64">
        <f>+Loreto!P20/1000000</f>
        <v>1328.3840729999999</v>
      </c>
      <c r="E40" s="66">
        <f>+Loreto!M20</f>
        <v>3.9747971293239072E-2</v>
      </c>
      <c r="F40" s="64">
        <f>+Loreto!Q20/1000000</f>
        <v>666.55651</v>
      </c>
      <c r="G40" s="66">
        <f>+Loreto!N20</f>
        <v>0.12699693683885857</v>
      </c>
      <c r="H40" s="54"/>
      <c r="I40" s="84">
        <v>2010</v>
      </c>
      <c r="J40" s="81">
        <f>+(Amazonas!P14+Loreto!P14+'San Martín'!P14+Ucayali!P14)/1000000</f>
        <v>2293.2251139999998</v>
      </c>
      <c r="K40" s="81">
        <f>+(Amazonas!Q14+Loreto!Q14+'San Martín'!Q14+Ucayali!Q14)/1000000</f>
        <v>1141.6345309999999</v>
      </c>
      <c r="L40" s="85">
        <f t="shared" ref="L40:L48" si="9">+K40+J40</f>
        <v>3434.8596449999995</v>
      </c>
      <c r="M40" s="86">
        <f t="shared" ref="M40:M48" si="10">+I23/J40</f>
        <v>0.19871881579263048</v>
      </c>
      <c r="N40" s="86">
        <f t="shared" ref="N40:N48" si="11">+J23/K40</f>
        <v>0.26418833331522623</v>
      </c>
      <c r="O40" s="83">
        <f t="shared" ref="O40:O48" si="12">+K23/L40</f>
        <v>0.22047873312739102</v>
      </c>
      <c r="P40" s="36"/>
    </row>
    <row r="41" spans="2:16" x14ac:dyDescent="0.25">
      <c r="B41" s="16"/>
      <c r="C41" s="80" t="s">
        <v>50</v>
      </c>
      <c r="D41" s="64">
        <f>+'San Martín'!P20/1000000</f>
        <v>1233.7277309999999</v>
      </c>
      <c r="E41" s="66">
        <f>+'San Martín'!M20</f>
        <v>5.6913641669614053E-2</v>
      </c>
      <c r="F41" s="64">
        <f>+'San Martín'!Q20/1000000</f>
        <v>619.64733000000001</v>
      </c>
      <c r="G41" s="66">
        <f>+'San Martín'!N20</f>
        <v>0.20756550181536326</v>
      </c>
      <c r="H41" s="54"/>
      <c r="I41" s="84">
        <v>2011</v>
      </c>
      <c r="J41" s="81">
        <f>+(Amazonas!P15+Loreto!P15+'San Martín'!P15+Ucayali!P15)/1000000</f>
        <v>2512.1098889999998</v>
      </c>
      <c r="K41" s="81">
        <f>+(Amazonas!Q15+Loreto!Q15+'San Martín'!Q15+Ucayali!Q15)/1000000</f>
        <v>1374.224696</v>
      </c>
      <c r="L41" s="85">
        <f t="shared" si="9"/>
        <v>3886.3345849999996</v>
      </c>
      <c r="M41" s="86">
        <f t="shared" si="10"/>
        <v>0.17332991837125802</v>
      </c>
      <c r="N41" s="86">
        <f t="shared" si="11"/>
        <v>0.22069365503528979</v>
      </c>
      <c r="O41" s="83">
        <f t="shared" si="12"/>
        <v>0.19007794023992919</v>
      </c>
      <c r="P41" s="36"/>
    </row>
    <row r="42" spans="2:16" x14ac:dyDescent="0.25">
      <c r="B42" s="16"/>
      <c r="C42" s="80" t="s">
        <v>51</v>
      </c>
      <c r="D42" s="64">
        <f>+Ucayali!P20/1000000</f>
        <v>727.26953100000003</v>
      </c>
      <c r="E42" s="66">
        <f>+Ucayali!M20</f>
        <v>2.823970773498553E-2</v>
      </c>
      <c r="F42" s="64">
        <f>+Ucayali!Q20/1000000</f>
        <v>381.19620400000002</v>
      </c>
      <c r="G42" s="66">
        <f>+Ucayali!N20</f>
        <v>0.21949343965660267</v>
      </c>
      <c r="H42" s="54"/>
      <c r="I42" s="84">
        <v>2012</v>
      </c>
      <c r="J42" s="81">
        <f>+(Amazonas!P16+Loreto!P16+'San Martín'!P16+Ucayali!P16)/1000000</f>
        <v>2999.5627420000001</v>
      </c>
      <c r="K42" s="81">
        <f>+(Amazonas!Q16+Loreto!Q16+'San Martín'!Q16+Ucayali!Q16)/1000000</f>
        <v>1718.0622069999999</v>
      </c>
      <c r="L42" s="85">
        <f t="shared" si="9"/>
        <v>4717.624949</v>
      </c>
      <c r="M42" s="86">
        <f t="shared" si="10"/>
        <v>0.13999741099597909</v>
      </c>
      <c r="N42" s="86">
        <f t="shared" si="11"/>
        <v>0.26819707116693475</v>
      </c>
      <c r="O42" s="83">
        <f t="shared" si="12"/>
        <v>0.1866850967427339</v>
      </c>
      <c r="P42" s="36"/>
    </row>
    <row r="43" spans="2:16" x14ac:dyDescent="0.25">
      <c r="B43" s="16"/>
      <c r="C43" s="163" t="s">
        <v>69</v>
      </c>
      <c r="D43" s="167">
        <f>SUM(D39:D42)</f>
        <v>3997.864564</v>
      </c>
      <c r="E43" s="168">
        <f>+I29/D43</f>
        <v>3.8636984952149567E-2</v>
      </c>
      <c r="F43" s="167">
        <f>SUM(F39:F42)</f>
        <v>2013.3475060000001</v>
      </c>
      <c r="G43" s="168">
        <f>+J29/F43</f>
        <v>0.17519680926855355</v>
      </c>
      <c r="H43" s="54"/>
      <c r="I43" s="84">
        <v>2013</v>
      </c>
      <c r="J43" s="81">
        <f>+(Amazonas!P17+Loreto!P17+'San Martín'!P17+Ucayali!P17)/1000000</f>
        <v>3288.1813780000002</v>
      </c>
      <c r="K43" s="81">
        <f>+(Amazonas!Q17+Loreto!Q17+'San Martín'!Q17+Ucayali!Q17)/1000000</f>
        <v>1871.8991209999999</v>
      </c>
      <c r="L43" s="85">
        <f t="shared" si="9"/>
        <v>5160.0804989999997</v>
      </c>
      <c r="M43" s="86">
        <f t="shared" si="10"/>
        <v>0.11476940065561067</v>
      </c>
      <c r="N43" s="86">
        <f t="shared" si="11"/>
        <v>0.23233862504709196</v>
      </c>
      <c r="O43" s="83">
        <f t="shared" si="12"/>
        <v>0.15741945773082797</v>
      </c>
      <c r="P43" s="36"/>
    </row>
    <row r="44" spans="2:16" x14ac:dyDescent="0.25">
      <c r="B44" s="16"/>
      <c r="C44" s="76"/>
      <c r="H44" s="54"/>
      <c r="I44" s="84">
        <v>2014</v>
      </c>
      <c r="J44" s="81">
        <f>+(Amazonas!P18+Loreto!P18+'San Martín'!P18+Ucayali!P18)/1000000</f>
        <v>3667.9116669999999</v>
      </c>
      <c r="K44" s="81">
        <f>+(Amazonas!Q18+Loreto!Q18+'San Martín'!Q18+Ucayali!Q18)/1000000</f>
        <v>2037.933532</v>
      </c>
      <c r="L44" s="85">
        <f t="shared" si="9"/>
        <v>5705.8451989999994</v>
      </c>
      <c r="M44" s="86">
        <f t="shared" si="10"/>
        <v>0.11987981225285052</v>
      </c>
      <c r="N44" s="86">
        <f t="shared" si="11"/>
        <v>0.27359446137225635</v>
      </c>
      <c r="O44" s="83">
        <f t="shared" si="12"/>
        <v>0.17478144853540392</v>
      </c>
      <c r="P44" s="36"/>
    </row>
    <row r="45" spans="2:16" x14ac:dyDescent="0.25">
      <c r="B45" s="16"/>
      <c r="H45" s="54"/>
      <c r="I45" s="84">
        <v>2015</v>
      </c>
      <c r="J45" s="81">
        <f>+(Amazonas!P19+Loreto!P19+'San Martín'!P19+Ucayali!P19)/1000000</f>
        <v>3828.487419</v>
      </c>
      <c r="K45" s="81">
        <f>+(Amazonas!Q19+Loreto!Q19+'San Martín'!Q19+Ucayali!Q19)/1000000</f>
        <v>1837.546617</v>
      </c>
      <c r="L45" s="85">
        <f t="shared" si="9"/>
        <v>5666.034036</v>
      </c>
      <c r="M45" s="86">
        <f t="shared" si="10"/>
        <v>6.1023764591872101E-2</v>
      </c>
      <c r="N45" s="86">
        <f t="shared" si="11"/>
        <v>0.20490048171659528</v>
      </c>
      <c r="O45" s="83">
        <f t="shared" si="12"/>
        <v>0.10768429877465707</v>
      </c>
      <c r="P45" s="36"/>
    </row>
    <row r="46" spans="2:16" x14ac:dyDescent="0.25">
      <c r="B46" s="16"/>
      <c r="H46" s="54"/>
      <c r="I46" s="84">
        <v>2016</v>
      </c>
      <c r="J46" s="81">
        <f>+(Amazonas!P20+Loreto!P20+'San Martín'!P20+Ucayali!P20)/1000000</f>
        <v>3997.864564</v>
      </c>
      <c r="K46" s="81">
        <f>+(Amazonas!Q20+Loreto!Q20+'San Martín'!Q20+Ucayali!Q20)/1000000</f>
        <v>2013.3475060000001</v>
      </c>
      <c r="L46" s="85">
        <f t="shared" si="9"/>
        <v>6011.2120699999996</v>
      </c>
      <c r="M46" s="86">
        <f t="shared" si="10"/>
        <v>3.8636984952149567E-2</v>
      </c>
      <c r="N46" s="86">
        <f t="shared" si="11"/>
        <v>0.17519680926855355</v>
      </c>
      <c r="O46" s="83">
        <f t="shared" si="12"/>
        <v>8.4375245140868915E-2</v>
      </c>
      <c r="P46" s="36"/>
    </row>
    <row r="47" spans="2:16" x14ac:dyDescent="0.25">
      <c r="B47" s="16"/>
      <c r="H47" s="54"/>
      <c r="I47" s="84" t="s">
        <v>11</v>
      </c>
      <c r="J47" s="81">
        <f>+(Amazonas!P21+Loreto!P21+'San Martín'!P21+Ucayali!P21)/1000000</f>
        <v>1219.5812550000001</v>
      </c>
      <c r="K47" s="81">
        <f>+(Amazonas!Q21+Loreto!Q21+'San Martín'!Q21+Ucayali!Q21)/1000000</f>
        <v>608.34130900000002</v>
      </c>
      <c r="L47" s="85">
        <f t="shared" si="9"/>
        <v>1827.922564</v>
      </c>
      <c r="M47" s="86">
        <f t="shared" si="10"/>
        <v>1.4176096040439715E-2</v>
      </c>
      <c r="N47" s="86">
        <f t="shared" si="11"/>
        <v>0.10123505520484061</v>
      </c>
      <c r="O47" s="83">
        <f t="shared" si="12"/>
        <v>4.3149731040794788E-2</v>
      </c>
      <c r="P47" s="36"/>
    </row>
    <row r="48" spans="2:16" x14ac:dyDescent="0.25">
      <c r="B48" s="16"/>
      <c r="D48" s="54"/>
      <c r="E48" s="54"/>
      <c r="F48" s="54"/>
      <c r="G48" s="54"/>
      <c r="H48" s="21"/>
      <c r="I48" s="88" t="s">
        <v>1</v>
      </c>
      <c r="J48" s="82">
        <f t="shared" ref="J48:K48" si="13">SUM(J39:J47)</f>
        <v>25885.931809000002</v>
      </c>
      <c r="K48" s="82">
        <f t="shared" si="13"/>
        <v>13650.866863999998</v>
      </c>
      <c r="L48" s="85">
        <f t="shared" si="9"/>
        <v>39536.798672999998</v>
      </c>
      <c r="M48" s="83">
        <f t="shared" si="10"/>
        <v>0.11475504988262403</v>
      </c>
      <c r="N48" s="83">
        <f t="shared" si="11"/>
        <v>0.22245064194481476</v>
      </c>
      <c r="O48" s="83">
        <f t="shared" si="12"/>
        <v>0.15193909711011469</v>
      </c>
      <c r="P48" s="36"/>
    </row>
    <row r="49" spans="2:21" x14ac:dyDescent="0.25">
      <c r="B49" s="16"/>
      <c r="C49" s="21"/>
      <c r="D49" s="21"/>
      <c r="E49" s="21"/>
      <c r="F49" s="21"/>
      <c r="G49" s="21"/>
      <c r="H49" s="21"/>
      <c r="I49" s="76" t="s">
        <v>70</v>
      </c>
      <c r="J49" s="77"/>
      <c r="K49" s="77"/>
      <c r="L49" s="77"/>
      <c r="M49" s="77"/>
      <c r="N49" s="77"/>
      <c r="O49" s="77"/>
      <c r="P49" s="36"/>
    </row>
    <row r="50" spans="2:21" x14ac:dyDescent="0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</row>
    <row r="51" spans="2:21" x14ac:dyDescent="0.25">
      <c r="I51" s="3"/>
      <c r="J51" s="3"/>
      <c r="K51" s="3"/>
      <c r="L51" s="3"/>
      <c r="M51" s="3"/>
      <c r="N51" s="3"/>
      <c r="O51" s="3"/>
    </row>
    <row r="52" spans="2:21" x14ac:dyDescent="0.25">
      <c r="I52" s="3"/>
      <c r="J52" s="3"/>
      <c r="K52" s="3"/>
      <c r="L52" s="3"/>
      <c r="M52" s="3"/>
      <c r="N52" s="3"/>
      <c r="O52" s="3"/>
    </row>
    <row r="53" spans="2:21" x14ac:dyDescent="0.25">
      <c r="B53" s="13" t="s">
        <v>26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</row>
    <row r="54" spans="2:21" ht="15" customHeight="1" x14ac:dyDescent="0.25">
      <c r="B54" s="16"/>
      <c r="C54" s="125" t="s">
        <v>61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7"/>
    </row>
    <row r="55" spans="2:21" x14ac:dyDescent="0.25">
      <c r="B55" s="16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7"/>
    </row>
    <row r="56" spans="2:21" x14ac:dyDescent="0.25">
      <c r="B56" s="1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7"/>
      <c r="R56" s="22"/>
      <c r="S56" s="22"/>
      <c r="T56" s="22"/>
    </row>
    <row r="57" spans="2:21" x14ac:dyDescent="0.25">
      <c r="B57" s="16"/>
      <c r="C57" s="30" t="s">
        <v>2</v>
      </c>
      <c r="D57" s="30" t="s">
        <v>9</v>
      </c>
      <c r="E57" s="30" t="s">
        <v>10</v>
      </c>
      <c r="F57" s="30" t="s">
        <v>1</v>
      </c>
      <c r="G57" s="30" t="s">
        <v>15</v>
      </c>
      <c r="H57" s="12"/>
      <c r="I57" s="30" t="s">
        <v>44</v>
      </c>
      <c r="J57" s="30" t="s">
        <v>9</v>
      </c>
      <c r="K57" s="30" t="s">
        <v>43</v>
      </c>
      <c r="L57" s="30" t="s">
        <v>10</v>
      </c>
      <c r="M57" s="30" t="s">
        <v>43</v>
      </c>
      <c r="N57" s="30" t="s">
        <v>1</v>
      </c>
      <c r="O57" s="30" t="s">
        <v>43</v>
      </c>
      <c r="P57" s="17"/>
      <c r="R57" s="22"/>
      <c r="S57" s="22"/>
      <c r="T57" s="22"/>
    </row>
    <row r="58" spans="2:21" x14ac:dyDescent="0.25">
      <c r="B58" s="16"/>
      <c r="C58" s="47">
        <v>2009</v>
      </c>
      <c r="D58" s="51">
        <f>+(Amazonas!H32+Loreto!H32+'San Martín'!H32+Ucayali!H32)/1000000</f>
        <v>341.56050843999998</v>
      </c>
      <c r="E58" s="51">
        <f>+(Amazonas!I32+Loreto!I32+'San Martín'!I32+Ucayali!I32)/1000000</f>
        <v>165.26726364999999</v>
      </c>
      <c r="F58" s="51">
        <f>+E58+D58</f>
        <v>506.82777208999994</v>
      </c>
      <c r="G58" s="48"/>
      <c r="H58" s="12"/>
      <c r="I58" s="48" t="s">
        <v>48</v>
      </c>
      <c r="J58" s="57">
        <f>+Amazonas!H39</f>
        <v>5272513.8</v>
      </c>
      <c r="K58" s="96">
        <f>+J58/J62</f>
        <v>4.8061686885405332E-2</v>
      </c>
      <c r="L58" s="89">
        <f>+Amazonas!I39</f>
        <v>42343384.969999999</v>
      </c>
      <c r="M58" s="96">
        <f>+L58/L62</f>
        <v>0.13918479663924968</v>
      </c>
      <c r="N58" s="57">
        <f>+L58+J58</f>
        <v>47615898.769999996</v>
      </c>
      <c r="O58" s="96">
        <f>+N58/N62</f>
        <v>0.1150344585823925</v>
      </c>
      <c r="P58" s="17"/>
      <c r="R58" s="22"/>
      <c r="S58" s="22" t="s">
        <v>50</v>
      </c>
      <c r="T58" s="99">
        <v>162.98912458000001</v>
      </c>
      <c r="U58" s="111"/>
    </row>
    <row r="59" spans="2:21" x14ac:dyDescent="0.25">
      <c r="B59" s="16"/>
      <c r="C59" s="47">
        <v>2010</v>
      </c>
      <c r="D59" s="51">
        <f>+(Amazonas!H33+Loreto!H33+'San Martín'!H33+Ucayali!H33)/1000000</f>
        <v>366.78336972</v>
      </c>
      <c r="E59" s="51">
        <f>+(Amazonas!I33+Loreto!I33+'San Martín'!I33+Ucayali!I33)/1000000</f>
        <v>321.94806706999998</v>
      </c>
      <c r="F59" s="51">
        <f t="shared" ref="F59:F66" si="14">+E59+D59</f>
        <v>688.73143678999998</v>
      </c>
      <c r="G59" s="49">
        <f>+F59/F58-1</f>
        <v>0.35890626898736411</v>
      </c>
      <c r="H59" s="12"/>
      <c r="I59" s="48" t="s">
        <v>49</v>
      </c>
      <c r="J59" s="57">
        <f>+Loreto!H39</f>
        <v>27179664.579999998</v>
      </c>
      <c r="K59" s="96">
        <f>+J59/J62</f>
        <v>0.24775668272206358</v>
      </c>
      <c r="L59" s="89">
        <f>+Loreto!I39</f>
        <v>74130648.329999998</v>
      </c>
      <c r="M59" s="96">
        <f>+L59/L62</f>
        <v>0.24367110045304402</v>
      </c>
      <c r="N59" s="57">
        <f t="shared" ref="N59:N61" si="15">+L59+J59</f>
        <v>101310312.91</v>
      </c>
      <c r="O59" s="96">
        <f>+N59/N62</f>
        <v>0.24475390143758533</v>
      </c>
      <c r="P59" s="17"/>
      <c r="R59" s="22"/>
      <c r="S59" s="22" t="s">
        <v>51</v>
      </c>
      <c r="T59" s="99">
        <v>102.01192828999999</v>
      </c>
      <c r="U59" s="111"/>
    </row>
    <row r="60" spans="2:21" x14ac:dyDescent="0.25">
      <c r="B60" s="16"/>
      <c r="C60" s="47">
        <v>2011</v>
      </c>
      <c r="D60" s="51">
        <f>+(Amazonas!H34+Loreto!H34+'San Martín'!H34+Ucayali!H34)/1000000</f>
        <v>341.41042189000001</v>
      </c>
      <c r="E60" s="51">
        <f>+(Amazonas!I34+Loreto!I34+'San Martín'!I34+Ucayali!I34)/1000000</f>
        <v>374.93590485000004</v>
      </c>
      <c r="F60" s="51">
        <f t="shared" si="14"/>
        <v>716.34632673999999</v>
      </c>
      <c r="G60" s="49">
        <f t="shared" ref="G60:G65" si="16">+F60/F59-1</f>
        <v>4.0095294733032638E-2</v>
      </c>
      <c r="H60" s="12"/>
      <c r="I60" s="48" t="s">
        <v>50</v>
      </c>
      <c r="J60" s="57">
        <f>+'San Martín'!H39</f>
        <v>56922048.270000003</v>
      </c>
      <c r="K60" s="96">
        <f>+J60/J62</f>
        <v>0.51887387394389917</v>
      </c>
      <c r="L60" s="90">
        <f>+'San Martín'!I39</f>
        <v>106067076.31</v>
      </c>
      <c r="M60" s="96">
        <f>+L60/L62</f>
        <v>0.34864771573615477</v>
      </c>
      <c r="N60" s="57">
        <f t="shared" si="15"/>
        <v>162989124.58000001</v>
      </c>
      <c r="O60" s="96">
        <f>+N60/N62</f>
        <v>0.39376271760497161</v>
      </c>
      <c r="P60" s="17"/>
      <c r="R60" s="22"/>
      <c r="S60" s="22" t="s">
        <v>49</v>
      </c>
      <c r="T60" s="99">
        <v>101.31031290999999</v>
      </c>
      <c r="U60" s="111"/>
    </row>
    <row r="61" spans="2:21" x14ac:dyDescent="0.25">
      <c r="B61" s="16"/>
      <c r="C61" s="47">
        <v>2012</v>
      </c>
      <c r="D61" s="51">
        <f>+(Amazonas!H35+Loreto!H35+'San Martín'!H35+Ucayali!H35)/1000000</f>
        <v>453.53574256000007</v>
      </c>
      <c r="E61" s="51">
        <f>+(Amazonas!I35+Loreto!I35+'San Martín'!I35+Ucayali!I35)/1000000</f>
        <v>424.74370003999996</v>
      </c>
      <c r="F61" s="51">
        <f t="shared" si="14"/>
        <v>878.27944260000004</v>
      </c>
      <c r="G61" s="49">
        <f t="shared" si="16"/>
        <v>0.22605422798346275</v>
      </c>
      <c r="H61" s="12"/>
      <c r="I61" s="48" t="s">
        <v>51</v>
      </c>
      <c r="J61" s="57">
        <f>+Ucayali!H39</f>
        <v>20328826.690000001</v>
      </c>
      <c r="K61" s="96">
        <f>+J61/J62</f>
        <v>0.18530775644863196</v>
      </c>
      <c r="L61" s="89">
        <f>+Ucayali!I39</f>
        <v>81683101.599999994</v>
      </c>
      <c r="M61" s="96">
        <f>+L61/L62</f>
        <v>0.26849638717155139</v>
      </c>
      <c r="N61" s="57">
        <f t="shared" si="15"/>
        <v>102011928.28999999</v>
      </c>
      <c r="O61" s="96">
        <f>+N61/N62</f>
        <v>0.24644892237505064</v>
      </c>
      <c r="P61" s="17"/>
      <c r="R61" s="22"/>
      <c r="S61" s="22" t="s">
        <v>48</v>
      </c>
      <c r="T61" s="99">
        <v>47.615898769999994</v>
      </c>
      <c r="U61" s="111"/>
    </row>
    <row r="62" spans="2:21" x14ac:dyDescent="0.25">
      <c r="B62" s="16"/>
      <c r="C62" s="47">
        <v>2013</v>
      </c>
      <c r="D62" s="51">
        <f>+(Amazonas!H36+Loreto!H36+'San Martín'!H36+Ucayali!H36)/1000000</f>
        <v>343.72683551</v>
      </c>
      <c r="E62" s="51">
        <f>+(Amazonas!I36+Loreto!I36+'San Martín'!I36+Ucayali!I36)/1000000</f>
        <v>454.96854955000003</v>
      </c>
      <c r="F62" s="51">
        <f t="shared" si="14"/>
        <v>798.69538506000004</v>
      </c>
      <c r="G62" s="49">
        <f t="shared" si="16"/>
        <v>-9.0613594808054088E-2</v>
      </c>
      <c r="H62" s="12"/>
      <c r="I62" s="120" t="s">
        <v>62</v>
      </c>
      <c r="J62" s="58">
        <f t="shared" ref="J62:O62" si="17">SUM(J58:J61)</f>
        <v>109703053.34</v>
      </c>
      <c r="K62" s="97">
        <f t="shared" si="17"/>
        <v>1</v>
      </c>
      <c r="L62" s="58">
        <f t="shared" si="17"/>
        <v>304224211.21000004</v>
      </c>
      <c r="M62" s="97">
        <f t="shared" si="17"/>
        <v>0.99999999999999978</v>
      </c>
      <c r="N62" s="58">
        <f t="shared" si="17"/>
        <v>413927264.54999995</v>
      </c>
      <c r="O62" s="97">
        <f t="shared" si="17"/>
        <v>1</v>
      </c>
      <c r="P62" s="17"/>
      <c r="R62" s="22"/>
      <c r="S62" s="22"/>
      <c r="T62" s="99"/>
    </row>
    <row r="63" spans="2:21" x14ac:dyDescent="0.25">
      <c r="B63" s="16"/>
      <c r="C63" s="47">
        <v>2014</v>
      </c>
      <c r="D63" s="51">
        <f>+(Amazonas!H37+Loreto!H37+'San Martín'!H37+Ucayali!H37)/1000000</f>
        <v>393.67889873000001</v>
      </c>
      <c r="E63" s="51">
        <f>+(Amazonas!I37+Loreto!I37+'San Martín'!I37+Ucayali!I37)/1000000</f>
        <v>530.92736160000004</v>
      </c>
      <c r="F63" s="51">
        <f t="shared" si="14"/>
        <v>924.60626033000005</v>
      </c>
      <c r="G63" s="49">
        <f t="shared" si="16"/>
        <v>0.15764567772047577</v>
      </c>
      <c r="H63" s="12"/>
      <c r="I63" s="121"/>
      <c r="J63" s="91">
        <f>+J62/N62</f>
        <v>0.2650297835762605</v>
      </c>
      <c r="K63" s="92"/>
      <c r="L63" s="93">
        <f>+L62/N62</f>
        <v>0.73497021642373972</v>
      </c>
      <c r="M63" s="92"/>
      <c r="N63" s="94">
        <f>+L63+J63</f>
        <v>1.0000000000000002</v>
      </c>
      <c r="O63" s="95"/>
      <c r="P63" s="17"/>
      <c r="T63" s="111"/>
    </row>
    <row r="64" spans="2:21" x14ac:dyDescent="0.25">
      <c r="B64" s="16"/>
      <c r="C64" s="47">
        <v>2015</v>
      </c>
      <c r="D64" s="51">
        <f>+(Amazonas!H38+Loreto!H38+'San Martín'!H38+Ucayali!H38)/1000000</f>
        <v>216.58559568999999</v>
      </c>
      <c r="E64" s="51">
        <f>+(Amazonas!I38+Loreto!I38+'San Martín'!I38+Ucayali!I38)/1000000</f>
        <v>429.75247384000005</v>
      </c>
      <c r="F64" s="51">
        <f t="shared" si="14"/>
        <v>646.33806952999998</v>
      </c>
      <c r="G64" s="49">
        <f t="shared" si="16"/>
        <v>-0.30095858392812924</v>
      </c>
      <c r="H64" s="12"/>
      <c r="I64" s="76" t="s">
        <v>70</v>
      </c>
      <c r="J64" s="78"/>
      <c r="K64" s="78"/>
      <c r="L64" s="78"/>
      <c r="M64" s="78"/>
      <c r="N64" s="76"/>
      <c r="O64" s="54"/>
      <c r="P64" s="17"/>
      <c r="T64" s="111"/>
    </row>
    <row r="65" spans="2:20" x14ac:dyDescent="0.25">
      <c r="B65" s="16"/>
      <c r="C65" s="47">
        <v>2016</v>
      </c>
      <c r="D65" s="51">
        <f>+(Amazonas!H39+Loreto!H39+'San Martín'!H39+Ucayali!H39)/1000000</f>
        <v>109.70305334</v>
      </c>
      <c r="E65" s="51">
        <f>+(Amazonas!I39+Loreto!I39+'San Martín'!I39+Ucayali!I39)/1000000</f>
        <v>304.22421121000002</v>
      </c>
      <c r="F65" s="51">
        <f t="shared" si="14"/>
        <v>413.92726455000002</v>
      </c>
      <c r="G65" s="49">
        <f t="shared" si="16"/>
        <v>-0.35958086941869749</v>
      </c>
      <c r="H65" s="12"/>
      <c r="I65" s="119" t="s">
        <v>74</v>
      </c>
      <c r="J65" s="119"/>
      <c r="K65" s="119"/>
      <c r="L65" s="119"/>
      <c r="M65" s="119"/>
      <c r="N65" s="119"/>
      <c r="O65" s="119"/>
      <c r="P65" s="17"/>
      <c r="T65" s="111"/>
    </row>
    <row r="66" spans="2:20" x14ac:dyDescent="0.25">
      <c r="B66" s="16"/>
      <c r="C66" s="98" t="s">
        <v>11</v>
      </c>
      <c r="D66" s="61">
        <f>+(Amazonas!H40+Loreto!H40+'San Martín'!H40+Ucayali!H40)/1000000</f>
        <v>28.393047029999998</v>
      </c>
      <c r="E66" s="61">
        <f>+(Amazonas!I40+Loreto!I40+'San Martín'!I40+Ucayali!I40)/1000000</f>
        <v>112.83954172999999</v>
      </c>
      <c r="F66" s="61">
        <f t="shared" si="14"/>
        <v>141.23258876</v>
      </c>
      <c r="G66" s="53"/>
      <c r="H66" s="12"/>
      <c r="P66" s="17"/>
    </row>
    <row r="67" spans="2:20" x14ac:dyDescent="0.25">
      <c r="B67" s="16"/>
      <c r="C67" s="76" t="s">
        <v>70</v>
      </c>
      <c r="D67" s="50"/>
      <c r="E67" s="50"/>
      <c r="F67" s="50"/>
      <c r="G67" s="50"/>
      <c r="H67" s="12"/>
      <c r="P67" s="17"/>
    </row>
    <row r="68" spans="2:20" x14ac:dyDescent="0.25">
      <c r="B68" s="16"/>
      <c r="C68" s="119" t="s">
        <v>73</v>
      </c>
      <c r="D68" s="119"/>
      <c r="E68" s="119"/>
      <c r="F68" s="119"/>
      <c r="G68" s="119"/>
      <c r="H68" s="12"/>
      <c r="P68" s="17"/>
    </row>
    <row r="69" spans="2:20" x14ac:dyDescent="0.25">
      <c r="B69" s="16"/>
      <c r="C69" s="12"/>
      <c r="D69" s="12"/>
      <c r="E69" s="12"/>
      <c r="F69" s="12"/>
      <c r="G69" s="12"/>
      <c r="H69" s="12"/>
      <c r="P69" s="17"/>
    </row>
    <row r="70" spans="2:20" x14ac:dyDescent="0.25">
      <c r="B70" s="16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7"/>
    </row>
    <row r="71" spans="2:20" x14ac:dyDescent="0.25">
      <c r="B71" s="16"/>
      <c r="C71" s="12"/>
      <c r="D71" s="118" t="s">
        <v>45</v>
      </c>
      <c r="E71" s="118"/>
      <c r="F71" s="118"/>
      <c r="G71" s="118"/>
      <c r="H71" s="118"/>
      <c r="I71" s="21"/>
      <c r="J71" s="118" t="s">
        <v>46</v>
      </c>
      <c r="K71" s="118"/>
      <c r="L71" s="118"/>
      <c r="M71" s="118"/>
      <c r="N71" s="118"/>
      <c r="O71" s="12"/>
      <c r="P71" s="17"/>
    </row>
    <row r="72" spans="2:20" x14ac:dyDescent="0.25">
      <c r="B72" s="16"/>
      <c r="C72" s="12"/>
      <c r="D72" s="30" t="s">
        <v>16</v>
      </c>
      <c r="E72" s="30">
        <v>2016</v>
      </c>
      <c r="F72" s="30" t="s">
        <v>17</v>
      </c>
      <c r="G72" s="30" t="s">
        <v>11</v>
      </c>
      <c r="H72" s="30" t="s">
        <v>17</v>
      </c>
      <c r="I72" s="21"/>
      <c r="J72" s="30" t="s">
        <v>16</v>
      </c>
      <c r="K72" s="30">
        <v>2016</v>
      </c>
      <c r="L72" s="30" t="s">
        <v>17</v>
      </c>
      <c r="M72" s="30" t="s">
        <v>11</v>
      </c>
      <c r="N72" s="30" t="s">
        <v>17</v>
      </c>
      <c r="O72" s="12"/>
      <c r="P72" s="17"/>
    </row>
    <row r="73" spans="2:20" x14ac:dyDescent="0.25">
      <c r="B73" s="16"/>
      <c r="C73" s="12"/>
      <c r="D73" s="48" t="s">
        <v>18</v>
      </c>
      <c r="E73" s="57">
        <f>+E84</f>
        <v>31.907225589999999</v>
      </c>
      <c r="F73" s="49">
        <f>+E73/E75</f>
        <v>0.29085084342284179</v>
      </c>
      <c r="G73" s="57">
        <f>+G84</f>
        <v>9.0840810699999981</v>
      </c>
      <c r="H73" s="49">
        <f>+G73/G75</f>
        <v>0.31994033721027398</v>
      </c>
      <c r="I73" s="21"/>
      <c r="J73" s="48" t="s">
        <v>18</v>
      </c>
      <c r="K73" s="57">
        <f>+K84</f>
        <v>37.112712910000006</v>
      </c>
      <c r="L73" s="49">
        <f>+K73/K75</f>
        <v>0.12199131937063952</v>
      </c>
      <c r="M73" s="57">
        <f>+M84</f>
        <v>5.1304431899999994</v>
      </c>
      <c r="N73" s="49">
        <f>+M73/M75</f>
        <v>4.5466714161920399E-2</v>
      </c>
      <c r="O73" s="100">
        <f>+M73+G73</f>
        <v>14.214524259999997</v>
      </c>
      <c r="P73" s="101">
        <f>+(M73+G73)/F66</f>
        <v>0.10064620626727368</v>
      </c>
    </row>
    <row r="74" spans="2:20" x14ac:dyDescent="0.25">
      <c r="B74" s="16"/>
      <c r="C74" s="12"/>
      <c r="D74" s="48" t="s">
        <v>3</v>
      </c>
      <c r="E74" s="57">
        <f>+Amazonas!E47+Loreto!E47+'San Martín'!E47+Ucayali!E47</f>
        <v>77.795827750000001</v>
      </c>
      <c r="F74" s="49">
        <f>+E74/E75</f>
        <v>0.70914915657715827</v>
      </c>
      <c r="G74" s="57">
        <f>+Amazonas!G47+Loreto!G47+'San Martín'!G47+Ucayali!G47</f>
        <v>19.308966049999999</v>
      </c>
      <c r="H74" s="49">
        <f>+G74/G75</f>
        <v>0.68005966278972596</v>
      </c>
      <c r="I74" s="21"/>
      <c r="J74" s="48" t="s">
        <v>3</v>
      </c>
      <c r="K74" s="57">
        <f>+Amazonas!K47+Loreto!K47+'San Martín'!K47+Ucayali!K47</f>
        <v>267.11149829999999</v>
      </c>
      <c r="L74" s="49">
        <f>+K74/K75</f>
        <v>0.87800868062936044</v>
      </c>
      <c r="M74" s="57">
        <f>+Amazonas!M47+Loreto!M47+'San Martín'!M47+Ucayali!M47</f>
        <v>107.70909854000001</v>
      </c>
      <c r="N74" s="49">
        <f>+M74/M75</f>
        <v>0.95453328583807961</v>
      </c>
      <c r="O74" s="100">
        <f>+M74+G74</f>
        <v>127.01806459000001</v>
      </c>
      <c r="P74" s="101">
        <f>+P75-P73</f>
        <v>0.89935379373272628</v>
      </c>
    </row>
    <row r="75" spans="2:20" x14ac:dyDescent="0.25">
      <c r="B75" s="16"/>
      <c r="C75" s="12"/>
      <c r="D75" s="52" t="s">
        <v>1</v>
      </c>
      <c r="E75" s="58">
        <f>SUM(E73:E74)</f>
        <v>109.70305334</v>
      </c>
      <c r="F75" s="53">
        <f>SUM(F73:F74)</f>
        <v>1</v>
      </c>
      <c r="G75" s="58">
        <f>SUM(G73:G74)</f>
        <v>28.393047119999999</v>
      </c>
      <c r="H75" s="53">
        <f>SUM(H73:H74)</f>
        <v>1</v>
      </c>
      <c r="I75" s="21"/>
      <c r="J75" s="52" t="s">
        <v>1</v>
      </c>
      <c r="K75" s="58">
        <f>SUM(K73:K74)</f>
        <v>304.22421121000002</v>
      </c>
      <c r="L75" s="53">
        <f>SUM(L73:L74)</f>
        <v>1</v>
      </c>
      <c r="M75" s="58">
        <f>SUM(M73:M74)</f>
        <v>112.83954173000001</v>
      </c>
      <c r="N75" s="53">
        <f>SUM(N73:N74)</f>
        <v>1</v>
      </c>
      <c r="O75" s="100">
        <f>SUM(O73:O74)</f>
        <v>141.23258885000001</v>
      </c>
      <c r="P75" s="101">
        <v>1</v>
      </c>
    </row>
    <row r="76" spans="2:20" x14ac:dyDescent="0.25">
      <c r="B76" s="16"/>
      <c r="C76" s="12"/>
      <c r="D76" s="54"/>
      <c r="E76" s="54"/>
      <c r="F76" s="54"/>
      <c r="G76" s="54"/>
      <c r="H76" s="54"/>
      <c r="I76" s="21"/>
      <c r="J76" s="54"/>
      <c r="K76" s="54"/>
      <c r="L76" s="54"/>
      <c r="M76" s="54"/>
      <c r="N76" s="54"/>
      <c r="O76" s="102"/>
      <c r="P76" s="39"/>
    </row>
    <row r="77" spans="2:20" x14ac:dyDescent="0.25">
      <c r="B77" s="16"/>
      <c r="C77" s="12"/>
      <c r="D77" s="30" t="s">
        <v>19</v>
      </c>
      <c r="E77" s="30">
        <v>2016</v>
      </c>
      <c r="F77" s="30" t="s">
        <v>17</v>
      </c>
      <c r="G77" s="30" t="s">
        <v>11</v>
      </c>
      <c r="H77" s="30" t="s">
        <v>17</v>
      </c>
      <c r="I77" s="21"/>
      <c r="J77" s="30" t="s">
        <v>19</v>
      </c>
      <c r="K77" s="30">
        <v>2016</v>
      </c>
      <c r="L77" s="30" t="s">
        <v>17</v>
      </c>
      <c r="M77" s="30" t="s">
        <v>11</v>
      </c>
      <c r="N77" s="30" t="s">
        <v>17</v>
      </c>
      <c r="O77" s="102"/>
      <c r="P77" s="39"/>
    </row>
    <row r="78" spans="2:20" x14ac:dyDescent="0.25">
      <c r="B78" s="16"/>
      <c r="C78" s="12"/>
      <c r="D78" s="55" t="s">
        <v>20</v>
      </c>
      <c r="E78" s="57">
        <f>+Amazonas!E51+Loreto!E51+'San Martín'!E51+Ucayali!E51</f>
        <v>0</v>
      </c>
      <c r="F78" s="49">
        <f>+E78/E84</f>
        <v>0</v>
      </c>
      <c r="G78" s="57">
        <f>+Amazonas!G51+Loreto!G51+'San Martín'!G51+Ucayali!G51</f>
        <v>0</v>
      </c>
      <c r="H78" s="49">
        <f>+G78/G84</f>
        <v>0</v>
      </c>
      <c r="I78" s="21"/>
      <c r="J78" s="55" t="s">
        <v>20</v>
      </c>
      <c r="K78" s="57">
        <f>+Amazonas!K51+Loreto!K51+'San Martín'!K51+Ucayali!K51</f>
        <v>0</v>
      </c>
      <c r="L78" s="49">
        <f>+K78/K84</f>
        <v>0</v>
      </c>
      <c r="M78" s="57">
        <f>+Amazonas!M51+Loreto!M51+'San Martín'!M51+Ucayali!M51</f>
        <v>0</v>
      </c>
      <c r="N78" s="49">
        <f>+M78/M84</f>
        <v>0</v>
      </c>
      <c r="O78" s="102"/>
      <c r="P78" s="39"/>
    </row>
    <row r="79" spans="2:20" x14ac:dyDescent="0.25">
      <c r="B79" s="16"/>
      <c r="C79" s="12"/>
      <c r="D79" s="55" t="s">
        <v>21</v>
      </c>
      <c r="E79" s="57">
        <f>+Amazonas!E52+Loreto!E52+'San Martín'!E52+Ucayali!E52</f>
        <v>0.20756604000000001</v>
      </c>
      <c r="F79" s="49">
        <f>+E79/E84</f>
        <v>6.505298914646249E-3</v>
      </c>
      <c r="G79" s="57">
        <f>+Amazonas!G52+Loreto!G52+'San Martín'!G52+Ucayali!G52</f>
        <v>8.2424280000000003E-2</v>
      </c>
      <c r="H79" s="49">
        <f>+G79/G84</f>
        <v>9.073485734534514E-3</v>
      </c>
      <c r="I79" s="21"/>
      <c r="J79" s="55" t="s">
        <v>21</v>
      </c>
      <c r="K79" s="57">
        <f>+Amazonas!K52+Loreto!K52+'San Martín'!K52+Ucayali!K52</f>
        <v>0.62269842000000009</v>
      </c>
      <c r="L79" s="49">
        <f>+K79/K84</f>
        <v>1.6778574541561318E-2</v>
      </c>
      <c r="M79" s="57">
        <f>+Amazonas!M52+Loreto!M52+'San Martín'!M52+Ucayali!M52</f>
        <v>0.24727304</v>
      </c>
      <c r="N79" s="49">
        <f>+M79/M84</f>
        <v>4.8197208475472861E-2</v>
      </c>
      <c r="O79" s="103">
        <f>+M79+G79</f>
        <v>0.32969732000000002</v>
      </c>
      <c r="P79" s="39"/>
    </row>
    <row r="80" spans="2:20" x14ac:dyDescent="0.25">
      <c r="B80" s="16"/>
      <c r="C80" s="12"/>
      <c r="D80" s="55" t="s">
        <v>22</v>
      </c>
      <c r="E80" s="57">
        <f>+Amazonas!E53+Loreto!E53+'San Martín'!E53+Ucayali!E53</f>
        <v>0.23397392</v>
      </c>
      <c r="F80" s="49">
        <f>+E80/E84</f>
        <v>7.3329446754947401E-3</v>
      </c>
      <c r="G80" s="57">
        <f>+Amazonas!G53+Loreto!G53+'San Martín'!G53+Ucayali!G53</f>
        <v>0</v>
      </c>
      <c r="H80" s="49">
        <f>+G80/G84</f>
        <v>0</v>
      </c>
      <c r="I80" s="21"/>
      <c r="J80" s="55" t="s">
        <v>22</v>
      </c>
      <c r="K80" s="57">
        <f>+Amazonas!K53+Loreto!K53+'San Martín'!K53+Ucayali!K53</f>
        <v>0.70944885000000002</v>
      </c>
      <c r="L80" s="49">
        <f>+K80/K84</f>
        <v>1.9116060087562052E-2</v>
      </c>
      <c r="M80" s="57">
        <f>+Amazonas!M53+Loreto!M53+'San Martín'!M53+Ucayali!M53</f>
        <v>0</v>
      </c>
      <c r="N80" s="49">
        <f>+M80/M84</f>
        <v>0</v>
      </c>
      <c r="O80" s="103">
        <f>+K80+E80</f>
        <v>0.94342276999999997</v>
      </c>
      <c r="P80" s="39"/>
    </row>
    <row r="81" spans="2:16" x14ac:dyDescent="0.25">
      <c r="B81" s="16"/>
      <c r="C81" s="12"/>
      <c r="D81" s="55" t="s">
        <v>23</v>
      </c>
      <c r="E81" s="57">
        <f>+Amazonas!E54+Loreto!E54+'San Martín'!E54+Ucayali!E54</f>
        <v>0</v>
      </c>
      <c r="F81" s="49">
        <f>+E81/E84</f>
        <v>0</v>
      </c>
      <c r="G81" s="57">
        <f>+Amazonas!G54+Loreto!G54+'San Martín'!G54+Ucayali!G54</f>
        <v>0</v>
      </c>
      <c r="H81" s="49">
        <f>+G81/G84</f>
        <v>0</v>
      </c>
      <c r="I81" s="21"/>
      <c r="J81" s="55" t="s">
        <v>23</v>
      </c>
      <c r="K81" s="57">
        <f>+Amazonas!K54+Loreto!K54+'San Martín'!K54+Ucayali!K54</f>
        <v>0</v>
      </c>
      <c r="L81" s="49">
        <f>+K81/K84</f>
        <v>0</v>
      </c>
      <c r="M81" s="57">
        <f>+Amazonas!M54+Loreto!M54+'San Martín'!M54+Ucayali!M54</f>
        <v>0</v>
      </c>
      <c r="N81" s="49">
        <f>+M81/M84</f>
        <v>0</v>
      </c>
      <c r="O81" s="103">
        <f>+M81+G81</f>
        <v>0</v>
      </c>
      <c r="P81" s="39"/>
    </row>
    <row r="82" spans="2:16" x14ac:dyDescent="0.25">
      <c r="B82" s="16"/>
      <c r="C82" s="12"/>
      <c r="D82" s="48" t="s">
        <v>24</v>
      </c>
      <c r="E82" s="57">
        <f>+Amazonas!E55+Loreto!E55+'San Martín'!E55+Ucayali!E55</f>
        <v>3.8</v>
      </c>
      <c r="F82" s="49">
        <f>+E82/E84</f>
        <v>0.11909528107611314</v>
      </c>
      <c r="G82" s="57">
        <f>+Amazonas!G55+Loreto!G55+'San Martín'!G55+Ucayali!G55</f>
        <v>0</v>
      </c>
      <c r="H82" s="49">
        <f>+G82/G84</f>
        <v>0</v>
      </c>
      <c r="I82" s="21"/>
      <c r="J82" s="48" t="s">
        <v>24</v>
      </c>
      <c r="K82" s="57">
        <f>+Amazonas!K55+Loreto!K55+'San Martín'!K55+Ucayali!K55</f>
        <v>0</v>
      </c>
      <c r="L82" s="49">
        <f>+K82/K84</f>
        <v>0</v>
      </c>
      <c r="M82" s="57">
        <f>+Amazonas!M55+Loreto!M55+'San Martín'!M55+Ucayali!M55</f>
        <v>0</v>
      </c>
      <c r="N82" s="49">
        <f>+M82/M84</f>
        <v>0</v>
      </c>
      <c r="O82" s="102"/>
      <c r="P82" s="39"/>
    </row>
    <row r="83" spans="2:16" x14ac:dyDescent="0.25">
      <c r="B83" s="16"/>
      <c r="C83" s="12"/>
      <c r="D83" s="55" t="s">
        <v>25</v>
      </c>
      <c r="E83" s="57">
        <f>+Amazonas!E56+Loreto!E56+'San Martín'!E56+Ucayali!E56</f>
        <v>27.665685629999999</v>
      </c>
      <c r="F83" s="49">
        <f>+E83/E84</f>
        <v>0.86706647533374581</v>
      </c>
      <c r="G83" s="57">
        <f>+Amazonas!G56+Loreto!G56+'San Martín'!G56+Ucayali!G56</f>
        <v>9.0016567899999984</v>
      </c>
      <c r="H83" s="49">
        <f>+G83/G84</f>
        <v>0.99092651426546552</v>
      </c>
      <c r="I83" s="21"/>
      <c r="J83" s="55" t="s">
        <v>25</v>
      </c>
      <c r="K83" s="57">
        <f>+Amazonas!K56+Loreto!K56+'San Martín'!K56+Ucayali!K56</f>
        <v>35.780565640000006</v>
      </c>
      <c r="L83" s="49">
        <f>+K83/K84</f>
        <v>0.96410536537087665</v>
      </c>
      <c r="M83" s="57">
        <f>+Amazonas!M56+Loreto!M56+'San Martín'!M56+Ucayali!M56</f>
        <v>4.8831701499999998</v>
      </c>
      <c r="N83" s="49">
        <f>+M83/M84</f>
        <v>0.95180279152452718</v>
      </c>
      <c r="O83" s="103">
        <f>+M83+G83</f>
        <v>13.884826939999998</v>
      </c>
      <c r="P83" s="39"/>
    </row>
    <row r="84" spans="2:16" x14ac:dyDescent="0.25">
      <c r="B84" s="16"/>
      <c r="C84" s="12"/>
      <c r="D84" s="52" t="s">
        <v>1</v>
      </c>
      <c r="E84" s="58">
        <f>SUM(E78:E83)</f>
        <v>31.907225589999999</v>
      </c>
      <c r="F84" s="53">
        <f>SUM(F78:F83)</f>
        <v>1</v>
      </c>
      <c r="G84" s="58">
        <f>SUM(G78:G83)</f>
        <v>9.0840810699999981</v>
      </c>
      <c r="H84" s="53">
        <f>SUM(H78:H83)</f>
        <v>1</v>
      </c>
      <c r="I84" s="21"/>
      <c r="J84" s="52" t="s">
        <v>1</v>
      </c>
      <c r="K84" s="58">
        <f>SUM(K78:K83)</f>
        <v>37.112712910000006</v>
      </c>
      <c r="L84" s="53">
        <f>SUM(L78:L83)</f>
        <v>1</v>
      </c>
      <c r="M84" s="58">
        <f>SUM(M78:M83)</f>
        <v>5.1304431899999994</v>
      </c>
      <c r="N84" s="53">
        <f>SUM(N78:N83)</f>
        <v>1</v>
      </c>
      <c r="O84" s="102"/>
      <c r="P84" s="39"/>
    </row>
    <row r="85" spans="2:16" x14ac:dyDescent="0.25">
      <c r="B85" s="16"/>
      <c r="C85" s="12"/>
      <c r="D85" s="119" t="s">
        <v>75</v>
      </c>
      <c r="E85" s="119"/>
      <c r="F85" s="119"/>
      <c r="G85" s="119"/>
      <c r="H85" s="119"/>
      <c r="I85" s="12"/>
      <c r="J85" s="119" t="s">
        <v>76</v>
      </c>
      <c r="K85" s="119"/>
      <c r="L85" s="119"/>
      <c r="M85" s="119"/>
      <c r="N85" s="119"/>
      <c r="O85" s="12"/>
      <c r="P85" s="17"/>
    </row>
    <row r="86" spans="2:16" x14ac:dyDescent="0.25"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20"/>
    </row>
  </sheetData>
  <sortState ref="S58:T61">
    <sortCondition descending="1" ref="T58:T61"/>
  </sortState>
  <mergeCells count="44">
    <mergeCell ref="B1:O2"/>
    <mergeCell ref="C7:O8"/>
    <mergeCell ref="F10:F11"/>
    <mergeCell ref="G10:H10"/>
    <mergeCell ref="I10:J10"/>
    <mergeCell ref="K10:L10"/>
    <mergeCell ref="M20:M21"/>
    <mergeCell ref="N20:N21"/>
    <mergeCell ref="D26:E26"/>
    <mergeCell ref="D27:E27"/>
    <mergeCell ref="D28:E28"/>
    <mergeCell ref="D20:E21"/>
    <mergeCell ref="D22:E22"/>
    <mergeCell ref="D23:E23"/>
    <mergeCell ref="D24:E24"/>
    <mergeCell ref="D25:E25"/>
    <mergeCell ref="F17:L17"/>
    <mergeCell ref="F18:L18"/>
    <mergeCell ref="F20:H20"/>
    <mergeCell ref="I20:K20"/>
    <mergeCell ref="L20:L21"/>
    <mergeCell ref="D29:E29"/>
    <mergeCell ref="D30:E30"/>
    <mergeCell ref="I35:O35"/>
    <mergeCell ref="I36:O36"/>
    <mergeCell ref="C54:O55"/>
    <mergeCell ref="C37:C38"/>
    <mergeCell ref="D37:E37"/>
    <mergeCell ref="F37:G37"/>
    <mergeCell ref="I37:I38"/>
    <mergeCell ref="J37:L37"/>
    <mergeCell ref="M37:O37"/>
    <mergeCell ref="C36:G36"/>
    <mergeCell ref="C35:G35"/>
    <mergeCell ref="D33:N33"/>
    <mergeCell ref="D32:N32"/>
    <mergeCell ref="D31:E31"/>
    <mergeCell ref="D71:H71"/>
    <mergeCell ref="J71:N71"/>
    <mergeCell ref="D85:H85"/>
    <mergeCell ref="J85:N85"/>
    <mergeCell ref="I62:I63"/>
    <mergeCell ref="I65:O65"/>
    <mergeCell ref="C68:G68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61"/>
  <sheetViews>
    <sheetView zoomScale="85" zoomScaleNormal="85"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1:17" ht="15" customHeight="1" x14ac:dyDescent="0.25">
      <c r="B1" s="141" t="s">
        <v>77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7" ht="15" customHeight="1" x14ac:dyDescent="0.2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7" x14ac:dyDescent="0.25">
      <c r="B3" s="5" t="str">
        <f>+B7</f>
        <v>1. Presupuesto y Ejecución del Canon y otros, mayo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1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1:17" x14ac:dyDescent="0.25">
      <c r="B7" s="13" t="s">
        <v>54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7" x14ac:dyDescent="0.25">
      <c r="B8" s="16"/>
      <c r="C8" s="125" t="s">
        <v>28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7"/>
    </row>
    <row r="9" spans="1:17" x14ac:dyDescent="0.25">
      <c r="B9" s="16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7"/>
    </row>
    <row r="10" spans="1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6"/>
      <c r="Q10" s="3"/>
    </row>
    <row r="11" spans="1:17" x14ac:dyDescent="0.25">
      <c r="B11" s="16"/>
      <c r="C11" s="147" t="s">
        <v>2</v>
      </c>
      <c r="D11" s="148" t="s">
        <v>4</v>
      </c>
      <c r="E11" s="149"/>
      <c r="F11" s="150"/>
      <c r="G11" s="151" t="s">
        <v>5</v>
      </c>
      <c r="H11" s="152"/>
      <c r="I11" s="153"/>
      <c r="J11" s="154" t="s">
        <v>6</v>
      </c>
      <c r="K11" s="154" t="s">
        <v>7</v>
      </c>
      <c r="L11" s="142" t="s">
        <v>8</v>
      </c>
      <c r="M11" s="143" t="s">
        <v>12</v>
      </c>
      <c r="N11" s="144"/>
      <c r="O11" s="145"/>
      <c r="P11" s="33" t="s">
        <v>14</v>
      </c>
      <c r="Q11" s="34"/>
    </row>
    <row r="12" spans="1:17" s="105" customFormat="1" x14ac:dyDescent="0.25">
      <c r="A12" s="1"/>
      <c r="B12" s="16"/>
      <c r="C12" s="147"/>
      <c r="D12" s="24" t="s">
        <v>9</v>
      </c>
      <c r="E12" s="24" t="s">
        <v>10</v>
      </c>
      <c r="F12" s="24" t="s">
        <v>1</v>
      </c>
      <c r="G12" s="24" t="s">
        <v>9</v>
      </c>
      <c r="H12" s="24" t="s">
        <v>10</v>
      </c>
      <c r="I12" s="24" t="s">
        <v>1</v>
      </c>
      <c r="J12" s="155"/>
      <c r="K12" s="155"/>
      <c r="L12" s="142"/>
      <c r="M12" s="45" t="s">
        <v>9</v>
      </c>
      <c r="N12" s="30" t="s">
        <v>10</v>
      </c>
      <c r="O12" s="30" t="s">
        <v>1</v>
      </c>
      <c r="P12" s="33" t="s">
        <v>9</v>
      </c>
      <c r="Q12" s="34" t="s">
        <v>10</v>
      </c>
    </row>
    <row r="13" spans="1:17" s="105" customFormat="1" x14ac:dyDescent="0.25">
      <c r="A13" s="1"/>
      <c r="B13" s="16"/>
      <c r="C13" s="25">
        <v>2009</v>
      </c>
      <c r="D13" s="41">
        <v>51217427</v>
      </c>
      <c r="E13" s="41">
        <v>23891691</v>
      </c>
      <c r="F13" s="42">
        <f>+E13+D13</f>
        <v>75109118</v>
      </c>
      <c r="G13" s="41">
        <v>39756175</v>
      </c>
      <c r="H13" s="41">
        <v>14717146</v>
      </c>
      <c r="I13" s="42">
        <f>+H13+G13</f>
        <v>54473321</v>
      </c>
      <c r="J13" s="26">
        <f>+G13/D13</f>
        <v>0.77622358889680265</v>
      </c>
      <c r="K13" s="26">
        <f t="shared" ref="K13:K20" si="0">+H13/E13</f>
        <v>0.61599432204275539</v>
      </c>
      <c r="L13" s="44">
        <f t="shared" ref="L13:L20" si="1">+I13/F13</f>
        <v>0.72525576721590579</v>
      </c>
      <c r="M13" s="46">
        <f>+G13/P13</f>
        <v>0.11159321090956656</v>
      </c>
      <c r="N13" s="31">
        <f>+H13/Q13</f>
        <v>7.9918380559168431E-2</v>
      </c>
      <c r="O13" s="32">
        <f>+I13/SUM(P13:Q13)</f>
        <v>0.10079961306559057</v>
      </c>
      <c r="P13" s="109">
        <v>356259800</v>
      </c>
      <c r="Q13" s="38">
        <v>184152205</v>
      </c>
    </row>
    <row r="14" spans="1:17" s="105" customFormat="1" x14ac:dyDescent="0.25">
      <c r="A14" s="1"/>
      <c r="B14" s="16"/>
      <c r="C14" s="25">
        <v>2010</v>
      </c>
      <c r="D14" s="41">
        <v>81832100</v>
      </c>
      <c r="E14" s="41">
        <v>37698995</v>
      </c>
      <c r="F14" s="42">
        <f t="shared" ref="F14:F21" si="2">+E14+D14</f>
        <v>119531095</v>
      </c>
      <c r="G14" s="41">
        <v>46292427</v>
      </c>
      <c r="H14" s="41">
        <v>25856822</v>
      </c>
      <c r="I14" s="42">
        <f t="shared" ref="I14:I21" si="3">+H14+G14</f>
        <v>72149249</v>
      </c>
      <c r="J14" s="26">
        <f t="shared" ref="J14:J20" si="4">+G14/D14</f>
        <v>0.56570009812775179</v>
      </c>
      <c r="K14" s="26">
        <f t="shared" si="0"/>
        <v>0.6858756314326151</v>
      </c>
      <c r="L14" s="44">
        <f t="shared" si="1"/>
        <v>0.60360234297192705</v>
      </c>
      <c r="M14" s="46">
        <f t="shared" ref="M14:M21" si="5">+G14/P14</f>
        <v>0.13071146654972882</v>
      </c>
      <c r="N14" s="31">
        <f t="shared" ref="N14:N21" si="6">+H14/Q14</f>
        <v>0.16523561596711181</v>
      </c>
      <c r="O14" s="32">
        <f t="shared" ref="O14:O21" si="7">+I14/SUM(P14:Q14)</f>
        <v>0.14129128010916941</v>
      </c>
      <c r="P14" s="109">
        <v>354157353</v>
      </c>
      <c r="Q14" s="38">
        <v>156484556</v>
      </c>
    </row>
    <row r="15" spans="1:17" s="105" customFormat="1" x14ac:dyDescent="0.25">
      <c r="A15" s="1"/>
      <c r="B15" s="16"/>
      <c r="C15" s="25">
        <v>2011</v>
      </c>
      <c r="D15" s="41">
        <v>61114417</v>
      </c>
      <c r="E15" s="41">
        <v>38792821</v>
      </c>
      <c r="F15" s="42">
        <f t="shared" si="2"/>
        <v>99907238</v>
      </c>
      <c r="G15" s="41">
        <v>23559270</v>
      </c>
      <c r="H15" s="41">
        <v>21531765</v>
      </c>
      <c r="I15" s="42">
        <f t="shared" si="3"/>
        <v>45091035</v>
      </c>
      <c r="J15" s="26">
        <f t="shared" si="4"/>
        <v>0.38549447342351317</v>
      </c>
      <c r="K15" s="26">
        <f t="shared" si="0"/>
        <v>0.55504509455499507</v>
      </c>
      <c r="L15" s="44">
        <f t="shared" si="1"/>
        <v>0.45132901181794255</v>
      </c>
      <c r="M15" s="46">
        <f t="shared" si="5"/>
        <v>5.891230334858906E-2</v>
      </c>
      <c r="N15" s="31">
        <f t="shared" si="6"/>
        <v>0.10065578577215688</v>
      </c>
      <c r="O15" s="32">
        <f t="shared" si="7"/>
        <v>7.3459834934147247E-2</v>
      </c>
      <c r="P15" s="109">
        <v>399904072</v>
      </c>
      <c r="Q15" s="38">
        <v>213914827</v>
      </c>
    </row>
    <row r="16" spans="1:17" s="105" customFormat="1" x14ac:dyDescent="0.25">
      <c r="A16" s="1"/>
      <c r="B16" s="16"/>
      <c r="C16" s="25">
        <v>2012</v>
      </c>
      <c r="D16" s="41">
        <v>66223285</v>
      </c>
      <c r="E16" s="41">
        <v>49028659</v>
      </c>
      <c r="F16" s="42">
        <f t="shared" si="2"/>
        <v>115251944</v>
      </c>
      <c r="G16" s="41">
        <v>54268866</v>
      </c>
      <c r="H16" s="41">
        <v>31539841</v>
      </c>
      <c r="I16" s="42">
        <f t="shared" si="3"/>
        <v>85808707</v>
      </c>
      <c r="J16" s="26">
        <f t="shared" si="4"/>
        <v>0.81948314705318526</v>
      </c>
      <c r="K16" s="26">
        <f t="shared" si="0"/>
        <v>0.64329397628436058</v>
      </c>
      <c r="L16" s="44">
        <f t="shared" si="1"/>
        <v>0.74453153692574592</v>
      </c>
      <c r="M16" s="46">
        <f t="shared" si="5"/>
        <v>0.10391427240732402</v>
      </c>
      <c r="N16" s="31">
        <f t="shared" si="6"/>
        <v>0.13580446373438262</v>
      </c>
      <c r="O16" s="32">
        <f t="shared" si="7"/>
        <v>0.1137305878437906</v>
      </c>
      <c r="P16" s="109">
        <v>522246509</v>
      </c>
      <c r="Q16" s="38">
        <v>232244509</v>
      </c>
    </row>
    <row r="17" spans="1:17" s="105" customFormat="1" x14ac:dyDescent="0.25">
      <c r="A17" s="1"/>
      <c r="B17" s="16"/>
      <c r="C17" s="25">
        <v>2013</v>
      </c>
      <c r="D17" s="41">
        <v>19278959</v>
      </c>
      <c r="E17" s="41">
        <v>46647980</v>
      </c>
      <c r="F17" s="42">
        <f t="shared" si="2"/>
        <v>65926939</v>
      </c>
      <c r="G17" s="41">
        <v>12582967</v>
      </c>
      <c r="H17" s="41">
        <v>26247491</v>
      </c>
      <c r="I17" s="42">
        <f t="shared" si="3"/>
        <v>38830458</v>
      </c>
      <c r="J17" s="26">
        <f t="shared" si="4"/>
        <v>0.65267875718808266</v>
      </c>
      <c r="K17" s="26">
        <f t="shared" si="0"/>
        <v>0.56267154547742471</v>
      </c>
      <c r="L17" s="44">
        <f t="shared" si="1"/>
        <v>0.58899227825517575</v>
      </c>
      <c r="M17" s="46">
        <f t="shared" si="5"/>
        <v>2.1861460215350386E-2</v>
      </c>
      <c r="N17" s="31">
        <f t="shared" si="6"/>
        <v>0.10802865938036106</v>
      </c>
      <c r="O17" s="32">
        <f t="shared" si="7"/>
        <v>4.7438364748705254E-2</v>
      </c>
      <c r="P17" s="109">
        <v>575577609</v>
      </c>
      <c r="Q17" s="38">
        <v>242967849</v>
      </c>
    </row>
    <row r="18" spans="1:17" s="105" customFormat="1" x14ac:dyDescent="0.25">
      <c r="A18" s="1"/>
      <c r="B18" s="16"/>
      <c r="C18" s="25">
        <v>2014</v>
      </c>
      <c r="D18" s="41">
        <v>21156806</v>
      </c>
      <c r="E18" s="41">
        <v>95353258</v>
      </c>
      <c r="F18" s="42">
        <f t="shared" si="2"/>
        <v>116510064</v>
      </c>
      <c r="G18" s="41">
        <v>10108921</v>
      </c>
      <c r="H18" s="41">
        <v>57072577</v>
      </c>
      <c r="I18" s="42">
        <f t="shared" si="3"/>
        <v>67181498</v>
      </c>
      <c r="J18" s="26">
        <f t="shared" si="4"/>
        <v>0.4778094103618476</v>
      </c>
      <c r="K18" s="26">
        <f t="shared" si="0"/>
        <v>0.59853830060006974</v>
      </c>
      <c r="L18" s="44">
        <f t="shared" si="1"/>
        <v>0.57661540723211691</v>
      </c>
      <c r="M18" s="46">
        <f t="shared" si="5"/>
        <v>1.5254934300933203E-2</v>
      </c>
      <c r="N18" s="31">
        <f t="shared" si="6"/>
        <v>0.15123136039066223</v>
      </c>
      <c r="O18" s="32">
        <f t="shared" si="7"/>
        <v>6.459439475859885E-2</v>
      </c>
      <c r="P18" s="109">
        <v>662665653</v>
      </c>
      <c r="Q18" s="38">
        <v>377385860</v>
      </c>
    </row>
    <row r="19" spans="1:17" s="105" customFormat="1" x14ac:dyDescent="0.25">
      <c r="A19" s="1"/>
      <c r="B19" s="16"/>
      <c r="C19" s="25">
        <v>2015</v>
      </c>
      <c r="D19" s="41">
        <v>21363346</v>
      </c>
      <c r="E19" s="41">
        <v>93960233</v>
      </c>
      <c r="F19" s="42">
        <f t="shared" si="2"/>
        <v>115323579</v>
      </c>
      <c r="G19" s="41">
        <v>14031098</v>
      </c>
      <c r="H19" s="41">
        <v>50946649</v>
      </c>
      <c r="I19" s="42">
        <f t="shared" si="3"/>
        <v>64977747</v>
      </c>
      <c r="J19" s="26">
        <f t="shared" si="4"/>
        <v>0.65678372666903395</v>
      </c>
      <c r="K19" s="26">
        <f t="shared" si="0"/>
        <v>0.54221501345148859</v>
      </c>
      <c r="L19" s="44">
        <f t="shared" si="1"/>
        <v>0.56343852283668716</v>
      </c>
      <c r="M19" s="46">
        <f t="shared" si="5"/>
        <v>2.249302989860668E-2</v>
      </c>
      <c r="N19" s="31">
        <f t="shared" si="6"/>
        <v>0.14689100340567063</v>
      </c>
      <c r="O19" s="32">
        <f t="shared" si="7"/>
        <v>6.6943847087088768E-2</v>
      </c>
      <c r="P19" s="37">
        <v>623797597</v>
      </c>
      <c r="Q19" s="38">
        <v>346833011</v>
      </c>
    </row>
    <row r="20" spans="1:17" s="105" customFormat="1" x14ac:dyDescent="0.25">
      <c r="A20" s="1"/>
      <c r="B20" s="16"/>
      <c r="C20" s="25">
        <v>2016</v>
      </c>
      <c r="D20" s="41">
        <v>13316674</v>
      </c>
      <c r="E20" s="41">
        <v>84218498</v>
      </c>
      <c r="F20" s="42">
        <f t="shared" si="2"/>
        <v>97535172</v>
      </c>
      <c r="G20" s="41">
        <v>10911044</v>
      </c>
      <c r="H20" s="41">
        <v>55793949</v>
      </c>
      <c r="I20" s="42">
        <f t="shared" si="3"/>
        <v>66704993</v>
      </c>
      <c r="J20" s="26">
        <f t="shared" si="4"/>
        <v>0.81935203940563539</v>
      </c>
      <c r="K20" s="26">
        <f t="shared" si="0"/>
        <v>0.66249043054650536</v>
      </c>
      <c r="L20" s="44">
        <f t="shared" si="1"/>
        <v>0.68390706277731284</v>
      </c>
      <c r="M20" s="46">
        <f t="shared" si="5"/>
        <v>1.5400567795232878E-2</v>
      </c>
      <c r="N20" s="31">
        <f t="shared" si="6"/>
        <v>0.16127867704952262</v>
      </c>
      <c r="O20" s="32">
        <f t="shared" si="7"/>
        <v>6.3261619345258605E-2</v>
      </c>
      <c r="P20" s="37">
        <v>708483229</v>
      </c>
      <c r="Q20" s="38">
        <v>345947462</v>
      </c>
    </row>
    <row r="21" spans="1:17" s="105" customFormat="1" x14ac:dyDescent="0.25">
      <c r="A21" s="1"/>
      <c r="B21" s="16"/>
      <c r="C21" s="25" t="s">
        <v>11</v>
      </c>
      <c r="D21" s="41">
        <v>1277453</v>
      </c>
      <c r="E21" s="41">
        <v>53255887</v>
      </c>
      <c r="F21" s="42">
        <f t="shared" si="2"/>
        <v>54533340</v>
      </c>
      <c r="G21" s="41">
        <v>189325</v>
      </c>
      <c r="H21" s="41">
        <v>10246780</v>
      </c>
      <c r="I21" s="42">
        <f t="shared" si="3"/>
        <v>10436105</v>
      </c>
      <c r="J21" s="26">
        <f>+G21/D21</f>
        <v>0.14820506116467691</v>
      </c>
      <c r="K21" s="26">
        <f t="shared" ref="K21:L21" si="8">+H21/E21</f>
        <v>0.19240652211839041</v>
      </c>
      <c r="L21" s="44">
        <f t="shared" si="8"/>
        <v>0.19137109518690767</v>
      </c>
      <c r="M21" s="46">
        <f t="shared" si="5"/>
        <v>9.230589496380451E-4</v>
      </c>
      <c r="N21" s="31">
        <f t="shared" si="6"/>
        <v>9.7548545842394002E-2</v>
      </c>
      <c r="O21" s="32">
        <f t="shared" si="7"/>
        <v>3.3648686644776861E-2</v>
      </c>
      <c r="P21" s="37">
        <v>205106077</v>
      </c>
      <c r="Q21" s="38">
        <v>105042878</v>
      </c>
    </row>
    <row r="22" spans="1:17" s="105" customFormat="1" x14ac:dyDescent="0.25">
      <c r="A22" s="1"/>
      <c r="B22" s="16"/>
      <c r="C22" s="27" t="s">
        <v>53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04">
        <f>SUM(P13:P21)</f>
        <v>4408197899</v>
      </c>
      <c r="Q22" s="104">
        <f>SUM(Q13:Q21)</f>
        <v>2204973157</v>
      </c>
    </row>
    <row r="23" spans="1:17" s="105" customFormat="1" x14ac:dyDescent="0.25">
      <c r="A23" s="1"/>
      <c r="B23" s="16"/>
      <c r="C23" s="146" t="s">
        <v>13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39"/>
      <c r="Q23" s="40"/>
    </row>
    <row r="24" spans="1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87"/>
      <c r="Q24" s="3"/>
    </row>
    <row r="27" spans="1:17" x14ac:dyDescent="0.25">
      <c r="B27" s="13" t="s">
        <v>26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7" ht="15" customHeight="1" x14ac:dyDescent="0.25">
      <c r="B28" s="16"/>
      <c r="C28" s="125" t="s">
        <v>29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7"/>
      <c r="Q28" s="35"/>
    </row>
    <row r="29" spans="1:17" x14ac:dyDescent="0.25">
      <c r="B29" s="16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7"/>
      <c r="Q29" s="35"/>
    </row>
    <row r="30" spans="1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5"/>
    </row>
    <row r="31" spans="1:17" x14ac:dyDescent="0.25">
      <c r="B31" s="16"/>
      <c r="C31" s="12"/>
      <c r="D31" s="12"/>
      <c r="E31" s="12"/>
      <c r="F31" s="12"/>
      <c r="G31" s="30" t="s">
        <v>2</v>
      </c>
      <c r="H31" s="30" t="s">
        <v>9</v>
      </c>
      <c r="I31" s="30" t="s">
        <v>10</v>
      </c>
      <c r="J31" s="30" t="s">
        <v>1</v>
      </c>
      <c r="K31" s="30" t="s">
        <v>15</v>
      </c>
      <c r="L31" s="12"/>
      <c r="M31" s="12"/>
      <c r="N31" s="12"/>
      <c r="O31" s="12"/>
      <c r="P31" s="56"/>
      <c r="Q31" s="35"/>
    </row>
    <row r="32" spans="1:17" x14ac:dyDescent="0.25">
      <c r="B32" s="16"/>
      <c r="C32" s="12"/>
      <c r="D32" s="12"/>
      <c r="E32" s="12"/>
      <c r="F32" s="12"/>
      <c r="G32" s="47">
        <v>2009</v>
      </c>
      <c r="H32" s="51">
        <v>30401917.789999999</v>
      </c>
      <c r="I32" s="51">
        <v>22471306.84</v>
      </c>
      <c r="J32" s="51">
        <f>+I32+H32</f>
        <v>52873224.629999995</v>
      </c>
      <c r="K32" s="48"/>
      <c r="L32" s="12"/>
      <c r="M32" s="12"/>
      <c r="N32" s="12"/>
      <c r="O32" s="12"/>
      <c r="P32" s="56"/>
      <c r="Q32" s="35"/>
    </row>
    <row r="33" spans="2:17" x14ac:dyDescent="0.25">
      <c r="B33" s="16"/>
      <c r="C33" s="12"/>
      <c r="D33" s="12"/>
      <c r="E33" s="12"/>
      <c r="F33" s="12"/>
      <c r="G33" s="47">
        <v>2010</v>
      </c>
      <c r="H33" s="51">
        <v>45896281.109999999</v>
      </c>
      <c r="I33" s="51">
        <v>28149178.350000001</v>
      </c>
      <c r="J33" s="51">
        <f t="shared" ref="J33:J40" si="9">+I33+H33</f>
        <v>74045459.460000008</v>
      </c>
      <c r="K33" s="49">
        <f>+J33/J32-1</f>
        <v>0.40043396214550153</v>
      </c>
      <c r="L33" s="12"/>
      <c r="M33" s="12"/>
      <c r="N33" s="12"/>
      <c r="O33" s="12"/>
      <c r="P33" s="56"/>
      <c r="Q33" s="35"/>
    </row>
    <row r="34" spans="2:17" x14ac:dyDescent="0.25">
      <c r="B34" s="16"/>
      <c r="C34" s="12"/>
      <c r="D34" s="12"/>
      <c r="E34" s="12"/>
      <c r="F34" s="12"/>
      <c r="G34" s="47">
        <v>2011</v>
      </c>
      <c r="H34" s="51">
        <v>20448508.120000001</v>
      </c>
      <c r="I34" s="51">
        <v>27554314.059999999</v>
      </c>
      <c r="J34" s="51">
        <f t="shared" si="9"/>
        <v>48002822.18</v>
      </c>
      <c r="K34" s="49">
        <f t="shared" ref="K34:K40" si="10">+J34/J33-1</f>
        <v>-0.35171146846713086</v>
      </c>
      <c r="L34" s="12"/>
      <c r="M34" s="12"/>
      <c r="N34" s="12"/>
      <c r="O34" s="12"/>
      <c r="P34" s="56"/>
      <c r="Q34" s="35"/>
    </row>
    <row r="35" spans="2:17" x14ac:dyDescent="0.25">
      <c r="B35" s="16"/>
      <c r="C35" s="12"/>
      <c r="D35" s="12"/>
      <c r="E35" s="12"/>
      <c r="F35" s="12"/>
      <c r="G35" s="47">
        <v>2012</v>
      </c>
      <c r="H35" s="51">
        <v>61928214.640000001</v>
      </c>
      <c r="I35" s="51">
        <v>29968842.48</v>
      </c>
      <c r="J35" s="51">
        <f t="shared" si="9"/>
        <v>91897057.120000005</v>
      </c>
      <c r="K35" s="49">
        <f t="shared" si="10"/>
        <v>0.91440946483117802</v>
      </c>
      <c r="L35" s="12"/>
      <c r="M35" s="12"/>
      <c r="N35" s="12"/>
      <c r="O35" s="12"/>
      <c r="P35" s="56"/>
      <c r="Q35" s="35"/>
    </row>
    <row r="36" spans="2:17" x14ac:dyDescent="0.25">
      <c r="B36" s="16"/>
      <c r="C36" s="12"/>
      <c r="D36" s="12"/>
      <c r="E36" s="12"/>
      <c r="F36" s="12"/>
      <c r="G36" s="47">
        <v>2013</v>
      </c>
      <c r="H36" s="51">
        <v>6212834.7699999996</v>
      </c>
      <c r="I36" s="51">
        <v>31508021.41</v>
      </c>
      <c r="J36" s="51">
        <f t="shared" si="9"/>
        <v>37720856.18</v>
      </c>
      <c r="K36" s="49">
        <f t="shared" si="10"/>
        <v>-0.58953140217815936</v>
      </c>
      <c r="L36" s="12"/>
      <c r="M36" s="12"/>
      <c r="N36" s="12"/>
      <c r="O36" s="12"/>
      <c r="P36" s="56"/>
      <c r="Q36" s="35"/>
    </row>
    <row r="37" spans="2:17" x14ac:dyDescent="0.25">
      <c r="B37" s="16"/>
      <c r="C37" s="12"/>
      <c r="D37" s="12"/>
      <c r="E37" s="12"/>
      <c r="F37" s="12"/>
      <c r="G37" s="47">
        <v>2014</v>
      </c>
      <c r="H37" s="51">
        <v>14575485.130000001</v>
      </c>
      <c r="I37" s="51">
        <v>69355518.260000005</v>
      </c>
      <c r="J37" s="51">
        <f t="shared" si="9"/>
        <v>83931003.390000001</v>
      </c>
      <c r="K37" s="49">
        <f t="shared" si="10"/>
        <v>1.2250556294239447</v>
      </c>
      <c r="L37" s="12"/>
      <c r="M37" s="12"/>
      <c r="N37" s="12"/>
      <c r="O37" s="12"/>
      <c r="P37" s="17"/>
    </row>
    <row r="38" spans="2:17" x14ac:dyDescent="0.25">
      <c r="B38" s="16"/>
      <c r="C38" s="12"/>
      <c r="D38" s="12"/>
      <c r="E38" s="12"/>
      <c r="F38" s="12"/>
      <c r="G38" s="47">
        <v>2015</v>
      </c>
      <c r="H38" s="51">
        <v>10249706.76</v>
      </c>
      <c r="I38" s="51">
        <v>60287467.509999998</v>
      </c>
      <c r="J38" s="51">
        <f t="shared" si="9"/>
        <v>70537174.269999996</v>
      </c>
      <c r="K38" s="49">
        <f t="shared" si="10"/>
        <v>-0.1595814249683547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7">
        <v>2016</v>
      </c>
      <c r="H39" s="51">
        <v>5272513.8</v>
      </c>
      <c r="I39" s="51">
        <v>42343384.969999999</v>
      </c>
      <c r="J39" s="51">
        <f t="shared" si="9"/>
        <v>47615898.769999996</v>
      </c>
      <c r="K39" s="49">
        <f t="shared" si="10"/>
        <v>-0.3249531291438279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7" t="s">
        <v>11</v>
      </c>
      <c r="H40" s="51">
        <v>4.04</v>
      </c>
      <c r="I40" s="51">
        <v>24570275.059999999</v>
      </c>
      <c r="J40" s="51">
        <f t="shared" si="9"/>
        <v>24570279.099999998</v>
      </c>
      <c r="K40" s="49">
        <f t="shared" si="10"/>
        <v>-0.4839900173116064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53</v>
      </c>
      <c r="H41" s="50"/>
      <c r="I41" s="50"/>
      <c r="J41" s="50"/>
      <c r="K41" s="50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19" t="s">
        <v>27</v>
      </c>
      <c r="H42" s="119"/>
      <c r="I42" s="119"/>
      <c r="J42" s="119"/>
      <c r="K42" s="119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18" t="s">
        <v>45</v>
      </c>
      <c r="E44" s="118"/>
      <c r="F44" s="118"/>
      <c r="G44" s="118"/>
      <c r="H44" s="118"/>
      <c r="I44" s="21"/>
      <c r="J44" s="118" t="s">
        <v>46</v>
      </c>
      <c r="K44" s="118"/>
      <c r="L44" s="118"/>
      <c r="M44" s="118"/>
      <c r="N44" s="118"/>
      <c r="O44" s="12"/>
      <c r="P44" s="17"/>
    </row>
    <row r="45" spans="2:17" x14ac:dyDescent="0.25">
      <c r="B45" s="16"/>
      <c r="C45" s="12"/>
      <c r="D45" s="30" t="s">
        <v>16</v>
      </c>
      <c r="E45" s="30">
        <v>2016</v>
      </c>
      <c r="F45" s="30" t="s">
        <v>17</v>
      </c>
      <c r="G45" s="30" t="s">
        <v>11</v>
      </c>
      <c r="H45" s="30" t="s">
        <v>17</v>
      </c>
      <c r="I45" s="21"/>
      <c r="J45" s="30" t="s">
        <v>16</v>
      </c>
      <c r="K45" s="30">
        <v>2016</v>
      </c>
      <c r="L45" s="30" t="s">
        <v>17</v>
      </c>
      <c r="M45" s="30" t="s">
        <v>11</v>
      </c>
      <c r="N45" s="30" t="s">
        <v>17</v>
      </c>
      <c r="O45" s="12"/>
      <c r="P45" s="17"/>
    </row>
    <row r="46" spans="2:17" x14ac:dyDescent="0.25">
      <c r="B46" s="16"/>
      <c r="C46" s="12"/>
      <c r="D46" s="48" t="s">
        <v>18</v>
      </c>
      <c r="E46" s="57">
        <f>+E57/1000000</f>
        <v>4.0400000000000006E-12</v>
      </c>
      <c r="F46" s="49">
        <f>+E46/E48</f>
        <v>7.6623850573903999E-13</v>
      </c>
      <c r="G46" s="57">
        <f>+G57</f>
        <v>0</v>
      </c>
      <c r="H46" s="49">
        <f>+G46/G48</f>
        <v>0</v>
      </c>
      <c r="I46" s="21"/>
      <c r="J46" s="48" t="s">
        <v>18</v>
      </c>
      <c r="K46" s="57">
        <f>+K57</f>
        <v>1.0949999999999998E-5</v>
      </c>
      <c r="L46" s="49">
        <f>+K46/K48</f>
        <v>2.5860001527412136E-7</v>
      </c>
      <c r="M46" s="57">
        <f>+M57</f>
        <v>0</v>
      </c>
      <c r="N46" s="49">
        <f>+M46/M48</f>
        <v>0</v>
      </c>
      <c r="O46" s="12"/>
      <c r="P46" s="17"/>
    </row>
    <row r="47" spans="2:17" x14ac:dyDescent="0.25">
      <c r="B47" s="16"/>
      <c r="C47" s="12"/>
      <c r="D47" s="48" t="s">
        <v>3</v>
      </c>
      <c r="E47" s="57">
        <f>(9.76+5272500)/1000000</f>
        <v>5.2725097600000002</v>
      </c>
      <c r="F47" s="49">
        <f>+E47/E48</f>
        <v>0.99999999999923372</v>
      </c>
      <c r="G47" s="57">
        <f>4.13/1000000</f>
        <v>4.1300000000000003E-6</v>
      </c>
      <c r="H47" s="49">
        <f>+G47/G48</f>
        <v>1</v>
      </c>
      <c r="I47" s="21"/>
      <c r="J47" s="48" t="s">
        <v>3</v>
      </c>
      <c r="K47" s="57">
        <v>42.343374019999999</v>
      </c>
      <c r="L47" s="49">
        <f>+K47/K48</f>
        <v>0.99999974139998482</v>
      </c>
      <c r="M47" s="57">
        <f>+I40/1000000</f>
        <v>24.57027506</v>
      </c>
      <c r="N47" s="49">
        <f>+M47/M48</f>
        <v>1</v>
      </c>
      <c r="O47" s="12"/>
      <c r="P47" s="17"/>
    </row>
    <row r="48" spans="2:17" x14ac:dyDescent="0.25">
      <c r="B48" s="16"/>
      <c r="C48" s="12"/>
      <c r="D48" s="52" t="s">
        <v>1</v>
      </c>
      <c r="E48" s="58">
        <f>SUM(E46:E47)</f>
        <v>5.2725097600040405</v>
      </c>
      <c r="F48" s="53">
        <f>SUM(F46:F47)</f>
        <v>1</v>
      </c>
      <c r="G48" s="58">
        <f>SUM(G46:G47)</f>
        <v>4.1300000000000003E-6</v>
      </c>
      <c r="H48" s="53">
        <f>SUM(H46:H47)</f>
        <v>1</v>
      </c>
      <c r="I48" s="21"/>
      <c r="J48" s="52" t="s">
        <v>1</v>
      </c>
      <c r="K48" s="58">
        <f>SUM(K46:K47)</f>
        <v>42.343384969999995</v>
      </c>
      <c r="L48" s="53">
        <f>SUM(L46:L47)</f>
        <v>1</v>
      </c>
      <c r="M48" s="58">
        <f>SUM(M46:M47)</f>
        <v>24.57027506</v>
      </c>
      <c r="N48" s="53">
        <f>SUM(N46:N47)</f>
        <v>1</v>
      </c>
      <c r="O48" s="12"/>
      <c r="P48" s="17"/>
    </row>
    <row r="49" spans="2:16" x14ac:dyDescent="0.25">
      <c r="B49" s="16"/>
      <c r="C49" s="12"/>
      <c r="D49" s="54"/>
      <c r="E49" s="54"/>
      <c r="F49" s="54"/>
      <c r="G49" s="54"/>
      <c r="H49" s="54"/>
      <c r="I49" s="21"/>
      <c r="J49" s="54"/>
      <c r="K49" s="54"/>
      <c r="L49" s="54"/>
      <c r="M49" s="54"/>
      <c r="N49" s="54"/>
      <c r="O49" s="12"/>
      <c r="P49" s="17"/>
    </row>
    <row r="50" spans="2:16" x14ac:dyDescent="0.25">
      <c r="B50" s="16"/>
      <c r="C50" s="12"/>
      <c r="D50" s="30" t="s">
        <v>19</v>
      </c>
      <c r="E50" s="30">
        <v>2016</v>
      </c>
      <c r="F50" s="30" t="s">
        <v>17</v>
      </c>
      <c r="G50" s="30" t="s">
        <v>11</v>
      </c>
      <c r="H50" s="30" t="s">
        <v>17</v>
      </c>
      <c r="I50" s="21"/>
      <c r="J50" s="30" t="s">
        <v>19</v>
      </c>
      <c r="K50" s="30">
        <v>2016</v>
      </c>
      <c r="L50" s="30" t="s">
        <v>17</v>
      </c>
      <c r="M50" s="30" t="s">
        <v>11</v>
      </c>
      <c r="N50" s="30" t="s">
        <v>17</v>
      </c>
      <c r="O50" s="12"/>
      <c r="P50" s="17"/>
    </row>
    <row r="51" spans="2:16" x14ac:dyDescent="0.25">
      <c r="B51" s="16"/>
      <c r="C51" s="12"/>
      <c r="D51" s="55" t="s">
        <v>20</v>
      </c>
      <c r="E51" s="57"/>
      <c r="F51" s="49">
        <f>+E51/E57</f>
        <v>0</v>
      </c>
      <c r="G51" s="57"/>
      <c r="H51" s="49" t="e">
        <f>+G51/G57</f>
        <v>#DIV/0!</v>
      </c>
      <c r="I51" s="21"/>
      <c r="J51" s="55" t="s">
        <v>20</v>
      </c>
      <c r="K51" s="57"/>
      <c r="L51" s="49">
        <f>+K51/K57</f>
        <v>0</v>
      </c>
      <c r="M51" s="57"/>
      <c r="N51" s="49" t="e">
        <f>+M51/M57</f>
        <v>#DIV/0!</v>
      </c>
      <c r="O51" s="12"/>
      <c r="P51" s="17"/>
    </row>
    <row r="52" spans="2:16" x14ac:dyDescent="0.25">
      <c r="B52" s="16"/>
      <c r="C52" s="12"/>
      <c r="D52" s="55" t="s">
        <v>21</v>
      </c>
      <c r="E52" s="57"/>
      <c r="F52" s="49">
        <f>+E52/E57</f>
        <v>0</v>
      </c>
      <c r="G52" s="57"/>
      <c r="H52" s="49" t="e">
        <f>+G52/G57</f>
        <v>#DIV/0!</v>
      </c>
      <c r="I52" s="21"/>
      <c r="J52" s="55" t="s">
        <v>21</v>
      </c>
      <c r="K52" s="57"/>
      <c r="L52" s="49">
        <f>+K52/K57</f>
        <v>0</v>
      </c>
      <c r="M52" s="57"/>
      <c r="N52" s="49" t="e">
        <f>+M52/M57</f>
        <v>#DIV/0!</v>
      </c>
      <c r="O52" s="12"/>
      <c r="P52" s="17"/>
    </row>
    <row r="53" spans="2:16" x14ac:dyDescent="0.25">
      <c r="B53" s="16"/>
      <c r="C53" s="12"/>
      <c r="D53" s="55" t="s">
        <v>22</v>
      </c>
      <c r="E53" s="57">
        <f>4.04/1000000</f>
        <v>4.0400000000000003E-6</v>
      </c>
      <c r="F53" s="49">
        <f>+E53/E57</f>
        <v>1</v>
      </c>
      <c r="G53" s="57"/>
      <c r="H53" s="49" t="e">
        <f>+G53/G57</f>
        <v>#DIV/0!</v>
      </c>
      <c r="I53" s="21"/>
      <c r="J53" s="55" t="s">
        <v>22</v>
      </c>
      <c r="K53" s="57">
        <v>1.0949999999999998E-5</v>
      </c>
      <c r="L53" s="49">
        <f>+K53/K57</f>
        <v>1</v>
      </c>
      <c r="M53" s="57"/>
      <c r="N53" s="49" t="e">
        <f>+M53/M57</f>
        <v>#DIV/0!</v>
      </c>
      <c r="O53" s="12"/>
      <c r="P53" s="17"/>
    </row>
    <row r="54" spans="2:16" x14ac:dyDescent="0.25">
      <c r="B54" s="16"/>
      <c r="C54" s="12"/>
      <c r="D54" s="55" t="s">
        <v>23</v>
      </c>
      <c r="E54" s="57"/>
      <c r="F54" s="49">
        <f>+E54/E57</f>
        <v>0</v>
      </c>
      <c r="G54" s="57"/>
      <c r="H54" s="49" t="e">
        <f>+G54/G57</f>
        <v>#DIV/0!</v>
      </c>
      <c r="I54" s="21"/>
      <c r="J54" s="55" t="s">
        <v>23</v>
      </c>
      <c r="K54" s="57"/>
      <c r="L54" s="49">
        <f>+K54/K57</f>
        <v>0</v>
      </c>
      <c r="M54" s="57"/>
      <c r="N54" s="49" t="e">
        <f>+M54/M57</f>
        <v>#DIV/0!</v>
      </c>
      <c r="O54" s="12"/>
      <c r="P54" s="17"/>
    </row>
    <row r="55" spans="2:16" x14ac:dyDescent="0.25">
      <c r="B55" s="16"/>
      <c r="C55" s="12"/>
      <c r="D55" s="48" t="s">
        <v>24</v>
      </c>
      <c r="E55" s="57"/>
      <c r="F55" s="49">
        <f>+E55/E57</f>
        <v>0</v>
      </c>
      <c r="G55" s="57"/>
      <c r="H55" s="49" t="e">
        <f>+G55/G57</f>
        <v>#DIV/0!</v>
      </c>
      <c r="I55" s="21"/>
      <c r="J55" s="48" t="s">
        <v>24</v>
      </c>
      <c r="K55" s="57"/>
      <c r="L55" s="49">
        <f>+K55/K57</f>
        <v>0</v>
      </c>
      <c r="M55" s="57"/>
      <c r="N55" s="49" t="e">
        <f>+M55/M57</f>
        <v>#DIV/0!</v>
      </c>
      <c r="O55" s="12"/>
      <c r="P55" s="17"/>
    </row>
    <row r="56" spans="2:16" x14ac:dyDescent="0.25">
      <c r="B56" s="16"/>
      <c r="C56" s="12"/>
      <c r="D56" s="55" t="s">
        <v>25</v>
      </c>
      <c r="E56" s="57"/>
      <c r="F56" s="49">
        <f>+E56/E57</f>
        <v>0</v>
      </c>
      <c r="G56" s="57"/>
      <c r="H56" s="49" t="e">
        <f>+G56/G57</f>
        <v>#DIV/0!</v>
      </c>
      <c r="I56" s="21"/>
      <c r="J56" s="55" t="s">
        <v>25</v>
      </c>
      <c r="K56" s="57"/>
      <c r="L56" s="49">
        <f>+K56/K57</f>
        <v>0</v>
      </c>
      <c r="M56" s="57"/>
      <c r="N56" s="49" t="e">
        <f>+M56/M57</f>
        <v>#DIV/0!</v>
      </c>
      <c r="O56" s="12"/>
      <c r="P56" s="17"/>
    </row>
    <row r="57" spans="2:16" x14ac:dyDescent="0.25">
      <c r="B57" s="16"/>
      <c r="C57" s="12"/>
      <c r="D57" s="52" t="s">
        <v>1</v>
      </c>
      <c r="E57" s="58">
        <f>SUM(E51:E56)</f>
        <v>4.0400000000000003E-6</v>
      </c>
      <c r="F57" s="53">
        <f>SUM(F51:F56)</f>
        <v>1</v>
      </c>
      <c r="G57" s="58">
        <f>SUM(G51:G56)</f>
        <v>0</v>
      </c>
      <c r="H57" s="53" t="e">
        <f>SUM(H51:H56)</f>
        <v>#DIV/0!</v>
      </c>
      <c r="I57" s="21"/>
      <c r="J57" s="52" t="s">
        <v>1</v>
      </c>
      <c r="K57" s="58">
        <f>SUM(K51:K56)</f>
        <v>1.0949999999999998E-5</v>
      </c>
      <c r="L57" s="53">
        <f>SUM(L51:L56)</f>
        <v>1</v>
      </c>
      <c r="M57" s="58">
        <f>SUM(M51:M56)</f>
        <v>0</v>
      </c>
      <c r="N57" s="53" t="e">
        <f>SUM(N51:N56)</f>
        <v>#DIV/0!</v>
      </c>
      <c r="O57" s="12"/>
      <c r="P57" s="17"/>
    </row>
    <row r="58" spans="2:16" x14ac:dyDescent="0.25">
      <c r="B58" s="16"/>
      <c r="C58" s="12"/>
      <c r="D58" s="119" t="s">
        <v>27</v>
      </c>
      <c r="E58" s="119"/>
      <c r="F58" s="119"/>
      <c r="G58" s="119"/>
      <c r="H58" s="119"/>
      <c r="I58" s="12"/>
      <c r="J58" s="119" t="s">
        <v>27</v>
      </c>
      <c r="K58" s="119"/>
      <c r="L58" s="119"/>
      <c r="M58" s="119"/>
      <c r="N58" s="119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K11:L23">
    <sortCondition descending="1" ref="K12:K24"/>
  </sortState>
  <mergeCells count="16">
    <mergeCell ref="B1:P2"/>
    <mergeCell ref="C28:O29"/>
    <mergeCell ref="D58:H58"/>
    <mergeCell ref="J58:N58"/>
    <mergeCell ref="C8:O9"/>
    <mergeCell ref="D44:H44"/>
    <mergeCell ref="J44:N44"/>
    <mergeCell ref="L11:L12"/>
    <mergeCell ref="M11:O11"/>
    <mergeCell ref="C23:O23"/>
    <mergeCell ref="G42:K42"/>
    <mergeCell ref="C11:C12"/>
    <mergeCell ref="D11:F11"/>
    <mergeCell ref="G11:I11"/>
    <mergeCell ref="J11:J12"/>
    <mergeCell ref="K11:K1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1:17" ht="15" customHeight="1" x14ac:dyDescent="0.25">
      <c r="B1" s="141" t="s">
        <v>78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7" ht="15" customHeight="1" x14ac:dyDescent="0.2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7" x14ac:dyDescent="0.25">
      <c r="B3" s="5" t="str">
        <f>+B7</f>
        <v>1. Presupuesto y Ejecución del Canon y otros, mayo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1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1:17" ht="15" customHeight="1" x14ac:dyDescent="0.25">
      <c r="B7" s="13" t="s">
        <v>54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7" ht="15" customHeight="1" x14ac:dyDescent="0.25">
      <c r="B8" s="16"/>
      <c r="C8" s="125" t="s">
        <v>28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7"/>
    </row>
    <row r="9" spans="1:17" x14ac:dyDescent="0.25">
      <c r="B9" s="16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7"/>
    </row>
    <row r="10" spans="1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6"/>
    </row>
    <row r="11" spans="1:17" s="105" customFormat="1" ht="15" customHeight="1" x14ac:dyDescent="0.25">
      <c r="A11" s="1"/>
      <c r="B11" s="16"/>
      <c r="C11" s="147" t="s">
        <v>2</v>
      </c>
      <c r="D11" s="148" t="s">
        <v>4</v>
      </c>
      <c r="E11" s="149"/>
      <c r="F11" s="150"/>
      <c r="G11" s="151" t="s">
        <v>5</v>
      </c>
      <c r="H11" s="152"/>
      <c r="I11" s="153"/>
      <c r="J11" s="154" t="s">
        <v>6</v>
      </c>
      <c r="K11" s="154" t="s">
        <v>7</v>
      </c>
      <c r="L11" s="142" t="s">
        <v>8</v>
      </c>
      <c r="M11" s="143" t="s">
        <v>12</v>
      </c>
      <c r="N11" s="144"/>
      <c r="O11" s="145"/>
      <c r="P11" s="33" t="s">
        <v>14</v>
      </c>
      <c r="Q11" s="34"/>
    </row>
    <row r="12" spans="1:17" s="105" customFormat="1" x14ac:dyDescent="0.25">
      <c r="A12" s="1"/>
      <c r="B12" s="16"/>
      <c r="C12" s="147"/>
      <c r="D12" s="24" t="s">
        <v>9</v>
      </c>
      <c r="E12" s="24" t="s">
        <v>10</v>
      </c>
      <c r="F12" s="24" t="s">
        <v>1</v>
      </c>
      <c r="G12" s="24" t="s">
        <v>9</v>
      </c>
      <c r="H12" s="24" t="s">
        <v>10</v>
      </c>
      <c r="I12" s="24" t="s">
        <v>1</v>
      </c>
      <c r="J12" s="155"/>
      <c r="K12" s="155"/>
      <c r="L12" s="142"/>
      <c r="M12" s="45" t="s">
        <v>9</v>
      </c>
      <c r="N12" s="30" t="s">
        <v>10</v>
      </c>
      <c r="O12" s="30" t="s">
        <v>1</v>
      </c>
      <c r="P12" s="33" t="s">
        <v>9</v>
      </c>
      <c r="Q12" s="34" t="s">
        <v>10</v>
      </c>
    </row>
    <row r="13" spans="1:17" s="105" customFormat="1" x14ac:dyDescent="0.25">
      <c r="A13" s="1"/>
      <c r="B13" s="16"/>
      <c r="C13" s="25">
        <v>2009</v>
      </c>
      <c r="D13" s="41">
        <v>233306916</v>
      </c>
      <c r="E13" s="41">
        <v>154169665</v>
      </c>
      <c r="F13" s="42">
        <f>+E13+D13</f>
        <v>387476581</v>
      </c>
      <c r="G13" s="41">
        <v>163639486</v>
      </c>
      <c r="H13" s="41">
        <v>82761352</v>
      </c>
      <c r="I13" s="42">
        <f>+H13+G13</f>
        <v>246400838</v>
      </c>
      <c r="J13" s="26">
        <f>+G13/D13</f>
        <v>0.70139149239793641</v>
      </c>
      <c r="K13" s="26">
        <f t="shared" ref="K13:L21" si="0">+H13/E13</f>
        <v>0.53681995092873813</v>
      </c>
      <c r="L13" s="44">
        <f t="shared" si="0"/>
        <v>0.63591156235581625</v>
      </c>
      <c r="M13" s="46">
        <f>+G13/P13</f>
        <v>0.22336717810344495</v>
      </c>
      <c r="N13" s="31">
        <f>+H13/Q13</f>
        <v>0.21022393591613436</v>
      </c>
      <c r="O13" s="32">
        <f>+I13/SUM(P13:Q13)</f>
        <v>0.21877308663067618</v>
      </c>
      <c r="P13" s="37">
        <v>732603095</v>
      </c>
      <c r="Q13" s="43">
        <v>393681869</v>
      </c>
    </row>
    <row r="14" spans="1:17" s="105" customFormat="1" x14ac:dyDescent="0.25">
      <c r="A14" s="1"/>
      <c r="B14" s="16"/>
      <c r="C14" s="25">
        <v>2010</v>
      </c>
      <c r="D14" s="41">
        <v>241939622</v>
      </c>
      <c r="E14" s="41">
        <v>134998962</v>
      </c>
      <c r="F14" s="42">
        <f t="shared" ref="F14:F21" si="1">+E14+D14</f>
        <v>376938584</v>
      </c>
      <c r="G14" s="41">
        <v>187435682</v>
      </c>
      <c r="H14" s="41">
        <v>111249718</v>
      </c>
      <c r="I14" s="42">
        <f t="shared" ref="I14:I21" si="2">+H14+G14</f>
        <v>298685400</v>
      </c>
      <c r="J14" s="26">
        <f t="shared" ref="J14:J20" si="3">+G14/D14</f>
        <v>0.77472090123377968</v>
      </c>
      <c r="K14" s="26">
        <f t="shared" si="0"/>
        <v>0.82407832143183446</v>
      </c>
      <c r="L14" s="44">
        <f t="shared" si="0"/>
        <v>0.7923980528350475</v>
      </c>
      <c r="M14" s="46">
        <f t="shared" ref="M14:N21" si="4">+G14/P14</f>
        <v>0.20581769593412094</v>
      </c>
      <c r="N14" s="31">
        <f t="shared" si="4"/>
        <v>0.27763883308888782</v>
      </c>
      <c r="O14" s="32">
        <f t="shared" ref="O14:O21" si="5">+I14/SUM(P14:Q14)</f>
        <v>0.22776291964072165</v>
      </c>
      <c r="P14" s="37">
        <v>910687884</v>
      </c>
      <c r="Q14" s="43">
        <v>400699415</v>
      </c>
    </row>
    <row r="15" spans="1:17" s="105" customFormat="1" x14ac:dyDescent="0.25">
      <c r="A15" s="1"/>
      <c r="B15" s="16"/>
      <c r="C15" s="25">
        <v>2011</v>
      </c>
      <c r="D15" s="41">
        <v>252952157</v>
      </c>
      <c r="E15" s="41">
        <v>157109082</v>
      </c>
      <c r="F15" s="42">
        <f t="shared" si="1"/>
        <v>410061239</v>
      </c>
      <c r="G15" s="41">
        <v>219192171</v>
      </c>
      <c r="H15" s="41">
        <v>116172500</v>
      </c>
      <c r="I15" s="42">
        <f t="shared" si="2"/>
        <v>335364671</v>
      </c>
      <c r="J15" s="26">
        <f t="shared" si="3"/>
        <v>0.86653608176189623</v>
      </c>
      <c r="K15" s="26">
        <f t="shared" si="0"/>
        <v>0.73943847498262383</v>
      </c>
      <c r="L15" s="44">
        <f t="shared" si="0"/>
        <v>0.81784045675187556</v>
      </c>
      <c r="M15" s="46">
        <f t="shared" si="4"/>
        <v>0.2190819234990472</v>
      </c>
      <c r="N15" s="31">
        <f t="shared" si="4"/>
        <v>0.23090825328817</v>
      </c>
      <c r="O15" s="32">
        <f t="shared" si="5"/>
        <v>0.22303902706559917</v>
      </c>
      <c r="P15" s="37">
        <v>1000503225</v>
      </c>
      <c r="Q15" s="43">
        <v>503111077</v>
      </c>
    </row>
    <row r="16" spans="1:17" s="105" customFormat="1" x14ac:dyDescent="0.25">
      <c r="A16" s="1"/>
      <c r="B16" s="16"/>
      <c r="C16" s="25">
        <v>2012</v>
      </c>
      <c r="D16" s="41">
        <v>275702669</v>
      </c>
      <c r="E16" s="41">
        <v>211908609</v>
      </c>
      <c r="F16" s="42">
        <f t="shared" si="1"/>
        <v>487611278</v>
      </c>
      <c r="G16" s="41">
        <v>246008600</v>
      </c>
      <c r="H16" s="41">
        <v>164347880</v>
      </c>
      <c r="I16" s="42">
        <f t="shared" si="2"/>
        <v>410356480</v>
      </c>
      <c r="J16" s="26">
        <f t="shared" si="3"/>
        <v>0.89229676626743137</v>
      </c>
      <c r="K16" s="26">
        <f t="shared" si="0"/>
        <v>0.77556018500409296</v>
      </c>
      <c r="L16" s="44">
        <f t="shared" si="0"/>
        <v>0.84156478431575577</v>
      </c>
      <c r="M16" s="46">
        <f t="shared" si="4"/>
        <v>0.20887403567545021</v>
      </c>
      <c r="N16" s="31">
        <f t="shared" si="4"/>
        <v>0.28073360684364901</v>
      </c>
      <c r="O16" s="32">
        <f t="shared" si="5"/>
        <v>0.23273296364552884</v>
      </c>
      <c r="P16" s="37">
        <v>1177784492</v>
      </c>
      <c r="Q16" s="43">
        <v>585422892</v>
      </c>
    </row>
    <row r="17" spans="1:17" s="105" customFormat="1" x14ac:dyDescent="0.25">
      <c r="A17" s="1"/>
      <c r="B17" s="16"/>
      <c r="C17" s="25">
        <v>2013</v>
      </c>
      <c r="D17" s="41">
        <v>278163486</v>
      </c>
      <c r="E17" s="41">
        <v>273565467</v>
      </c>
      <c r="F17" s="42">
        <f t="shared" si="1"/>
        <v>551728953</v>
      </c>
      <c r="G17" s="41">
        <v>205803330</v>
      </c>
      <c r="H17" s="41">
        <v>184612848</v>
      </c>
      <c r="I17" s="42">
        <f t="shared" si="2"/>
        <v>390416178</v>
      </c>
      <c r="J17" s="26">
        <f t="shared" si="3"/>
        <v>0.73986464923724748</v>
      </c>
      <c r="K17" s="26">
        <f t="shared" si="0"/>
        <v>0.67483973772172057</v>
      </c>
      <c r="L17" s="44">
        <f t="shared" si="0"/>
        <v>0.70762314697666406</v>
      </c>
      <c r="M17" s="46">
        <f t="shared" si="4"/>
        <v>0.16988374651230204</v>
      </c>
      <c r="N17" s="31">
        <f t="shared" si="4"/>
        <v>0.27318646929431012</v>
      </c>
      <c r="O17" s="32">
        <f t="shared" si="5"/>
        <v>0.2068745501416755</v>
      </c>
      <c r="P17" s="37">
        <v>1211436257</v>
      </c>
      <c r="Q17" s="43">
        <v>675775958</v>
      </c>
    </row>
    <row r="18" spans="1:17" s="105" customFormat="1" x14ac:dyDescent="0.25">
      <c r="A18" s="1"/>
      <c r="B18" s="16"/>
      <c r="C18" s="25">
        <v>2014</v>
      </c>
      <c r="D18" s="41">
        <v>299668358</v>
      </c>
      <c r="E18" s="41">
        <v>260902511</v>
      </c>
      <c r="F18" s="42">
        <f t="shared" si="1"/>
        <v>560570869</v>
      </c>
      <c r="G18" s="41">
        <v>268971176</v>
      </c>
      <c r="H18" s="41">
        <v>212897824</v>
      </c>
      <c r="I18" s="42">
        <f t="shared" si="2"/>
        <v>481869000</v>
      </c>
      <c r="J18" s="26">
        <f t="shared" si="3"/>
        <v>0.89756281842742969</v>
      </c>
      <c r="K18" s="26">
        <f t="shared" si="0"/>
        <v>0.81600527025974079</v>
      </c>
      <c r="L18" s="44">
        <f t="shared" si="0"/>
        <v>0.85960406907980091</v>
      </c>
      <c r="M18" s="46">
        <f t="shared" si="4"/>
        <v>0.20625315468387942</v>
      </c>
      <c r="N18" s="31">
        <f t="shared" si="4"/>
        <v>0.321296977325913</v>
      </c>
      <c r="O18" s="32">
        <f t="shared" si="5"/>
        <v>0.24501363523260167</v>
      </c>
      <c r="P18" s="37">
        <v>1304082725</v>
      </c>
      <c r="Q18" s="43">
        <v>662620065</v>
      </c>
    </row>
    <row r="19" spans="1:17" s="105" customFormat="1" ht="15" customHeight="1" x14ac:dyDescent="0.25">
      <c r="A19" s="1"/>
      <c r="B19" s="16"/>
      <c r="C19" s="25">
        <v>2015</v>
      </c>
      <c r="D19" s="41">
        <v>144364163</v>
      </c>
      <c r="E19" s="41">
        <v>168736402</v>
      </c>
      <c r="F19" s="42">
        <f t="shared" si="1"/>
        <v>313100565</v>
      </c>
      <c r="G19" s="41">
        <v>106074897</v>
      </c>
      <c r="H19" s="41">
        <v>118198365</v>
      </c>
      <c r="I19" s="42">
        <f t="shared" si="2"/>
        <v>224273262</v>
      </c>
      <c r="J19" s="26">
        <f t="shared" si="3"/>
        <v>0.73477305444565211</v>
      </c>
      <c r="K19" s="26">
        <f t="shared" si="0"/>
        <v>0.7004912016554673</v>
      </c>
      <c r="L19" s="44">
        <f t="shared" si="0"/>
        <v>0.71629785145868385</v>
      </c>
      <c r="M19" s="46">
        <f t="shared" si="4"/>
        <v>8.5917691053917417E-2</v>
      </c>
      <c r="N19" s="31">
        <f t="shared" si="4"/>
        <v>0.19442975778538402</v>
      </c>
      <c r="O19" s="32">
        <f t="shared" si="5"/>
        <v>0.12172002069237392</v>
      </c>
      <c r="P19" s="37">
        <v>1234610657</v>
      </c>
      <c r="Q19" s="43">
        <v>607923223</v>
      </c>
    </row>
    <row r="20" spans="1:17" s="105" customFormat="1" x14ac:dyDescent="0.25">
      <c r="A20" s="1"/>
      <c r="B20" s="16"/>
      <c r="C20" s="25">
        <v>2016</v>
      </c>
      <c r="D20" s="41">
        <v>111039922</v>
      </c>
      <c r="E20" s="41">
        <v>142662825</v>
      </c>
      <c r="F20" s="42">
        <f t="shared" si="1"/>
        <v>253702747</v>
      </c>
      <c r="G20" s="41">
        <v>52800572</v>
      </c>
      <c r="H20" s="41">
        <v>84650635</v>
      </c>
      <c r="I20" s="42">
        <f t="shared" si="2"/>
        <v>137451207</v>
      </c>
      <c r="J20" s="26">
        <f t="shared" si="3"/>
        <v>0.47550980808505972</v>
      </c>
      <c r="K20" s="26">
        <f t="shared" si="0"/>
        <v>0.59336155021464076</v>
      </c>
      <c r="L20" s="44">
        <f t="shared" si="0"/>
        <v>0.54178052317265601</v>
      </c>
      <c r="M20" s="46">
        <f t="shared" si="4"/>
        <v>3.9747971293239072E-2</v>
      </c>
      <c r="N20" s="31">
        <f t="shared" si="4"/>
        <v>0.12699693683885857</v>
      </c>
      <c r="O20" s="32">
        <f t="shared" si="5"/>
        <v>6.8899900163091721E-2</v>
      </c>
      <c r="P20" s="37">
        <v>1328384073</v>
      </c>
      <c r="Q20" s="43">
        <v>666556510</v>
      </c>
    </row>
    <row r="21" spans="1:17" s="105" customFormat="1" x14ac:dyDescent="0.25">
      <c r="A21" s="1"/>
      <c r="B21" s="16"/>
      <c r="C21" s="25" t="s">
        <v>11</v>
      </c>
      <c r="D21" s="41">
        <v>70129677</v>
      </c>
      <c r="E21" s="41">
        <v>62264658</v>
      </c>
      <c r="F21" s="42">
        <f t="shared" si="1"/>
        <v>132394335</v>
      </c>
      <c r="G21" s="41">
        <v>4385031</v>
      </c>
      <c r="H21" s="41">
        <v>15440081</v>
      </c>
      <c r="I21" s="42">
        <f t="shared" si="2"/>
        <v>19825112</v>
      </c>
      <c r="J21" s="26">
        <f>+G21/D21</f>
        <v>6.2527466082582986E-2</v>
      </c>
      <c r="K21" s="26">
        <f t="shared" si="0"/>
        <v>0.24797503906630308</v>
      </c>
      <c r="L21" s="44">
        <f t="shared" si="0"/>
        <v>0.14974290251920522</v>
      </c>
      <c r="M21" s="46">
        <f t="shared" si="4"/>
        <v>9.4084739025744497E-3</v>
      </c>
      <c r="N21" s="31">
        <f t="shared" si="4"/>
        <v>7.2976434813399521E-2</v>
      </c>
      <c r="O21" s="32">
        <f t="shared" si="5"/>
        <v>2.9255734065288922E-2</v>
      </c>
      <c r="P21" s="37">
        <v>466072505</v>
      </c>
      <c r="Q21" s="43">
        <v>211576258</v>
      </c>
    </row>
    <row r="22" spans="1:17" s="105" customFormat="1" x14ac:dyDescent="0.25">
      <c r="A22" s="1"/>
      <c r="B22" s="16"/>
      <c r="C22" s="27" t="s">
        <v>53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04">
        <f>SUM(P13:P21)</f>
        <v>9366164913</v>
      </c>
      <c r="Q22" s="104">
        <f>SUM(Q13:Q21)</f>
        <v>4707367267</v>
      </c>
    </row>
    <row r="23" spans="1:17" s="105" customFormat="1" x14ac:dyDescent="0.25">
      <c r="A23" s="1"/>
      <c r="B23" s="16"/>
      <c r="C23" s="146" t="s">
        <v>13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39"/>
      <c r="Q23" s="40"/>
    </row>
    <row r="24" spans="1:17" s="105" customFormat="1" x14ac:dyDescent="0.25">
      <c r="A24" s="1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08"/>
      <c r="Q24" s="40"/>
    </row>
    <row r="25" spans="1:17" ht="15" customHeight="1" x14ac:dyDescent="0.25">
      <c r="P25" s="40"/>
      <c r="Q25" s="40"/>
    </row>
    <row r="27" spans="1:17" x14ac:dyDescent="0.25">
      <c r="B27" s="13" t="s">
        <v>26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5"/>
    </row>
    <row r="28" spans="1:17" ht="15" customHeight="1" x14ac:dyDescent="0.25">
      <c r="B28" s="16"/>
      <c r="C28" s="125" t="s">
        <v>29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7"/>
      <c r="Q28" s="35"/>
    </row>
    <row r="29" spans="1:17" x14ac:dyDescent="0.25">
      <c r="B29" s="16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7"/>
      <c r="Q29" s="35"/>
    </row>
    <row r="30" spans="1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5"/>
    </row>
    <row r="31" spans="1:17" x14ac:dyDescent="0.25">
      <c r="B31" s="16"/>
      <c r="C31" s="12"/>
      <c r="D31" s="12"/>
      <c r="E31" s="12"/>
      <c r="F31" s="12"/>
      <c r="G31" s="30" t="s">
        <v>2</v>
      </c>
      <c r="H31" s="30" t="s">
        <v>9</v>
      </c>
      <c r="I31" s="30" t="s">
        <v>10</v>
      </c>
      <c r="J31" s="30" t="s">
        <v>1</v>
      </c>
      <c r="K31" s="30" t="s">
        <v>15</v>
      </c>
      <c r="L31" s="12"/>
      <c r="M31" s="12"/>
      <c r="N31" s="12"/>
      <c r="O31" s="12"/>
      <c r="P31" s="56"/>
      <c r="Q31" s="35"/>
    </row>
    <row r="32" spans="1:17" x14ac:dyDescent="0.25">
      <c r="B32" s="16"/>
      <c r="C32" s="12"/>
      <c r="D32" s="12"/>
      <c r="E32" s="12"/>
      <c r="F32" s="12"/>
      <c r="G32" s="47">
        <v>2009</v>
      </c>
      <c r="H32" s="51">
        <v>168134014.63</v>
      </c>
      <c r="I32" s="51">
        <v>59316885.219999999</v>
      </c>
      <c r="J32" s="51">
        <f>+I32+H32</f>
        <v>227450899.84999999</v>
      </c>
      <c r="K32" s="48"/>
      <c r="L32" s="12"/>
      <c r="M32" s="12"/>
      <c r="N32" s="12"/>
      <c r="O32" s="12"/>
      <c r="P32" s="56"/>
      <c r="Q32" s="35"/>
    </row>
    <row r="33" spans="2:17" x14ac:dyDescent="0.25">
      <c r="B33" s="16"/>
      <c r="C33" s="12"/>
      <c r="D33" s="12"/>
      <c r="E33" s="12"/>
      <c r="F33" s="12"/>
      <c r="G33" s="47">
        <v>2010</v>
      </c>
      <c r="H33" s="51">
        <v>178236577.16999999</v>
      </c>
      <c r="I33" s="51">
        <v>113519381.06</v>
      </c>
      <c r="J33" s="51">
        <f t="shared" ref="J33:J40" si="6">+I33+H33</f>
        <v>291755958.23000002</v>
      </c>
      <c r="K33" s="49">
        <f>+J33/J32-1</f>
        <v>0.28272061540494287</v>
      </c>
      <c r="L33" s="12"/>
      <c r="M33" s="12"/>
      <c r="N33" s="12"/>
      <c r="O33" s="12"/>
      <c r="P33" s="56"/>
      <c r="Q33" s="35"/>
    </row>
    <row r="34" spans="2:17" ht="15" customHeight="1" x14ac:dyDescent="0.25">
      <c r="B34" s="16"/>
      <c r="C34" s="12"/>
      <c r="D34" s="12"/>
      <c r="E34" s="12"/>
      <c r="F34" s="12"/>
      <c r="G34" s="47">
        <v>2011</v>
      </c>
      <c r="H34" s="51">
        <v>189199616.69</v>
      </c>
      <c r="I34" s="51">
        <v>131246243.18000001</v>
      </c>
      <c r="J34" s="51">
        <f t="shared" si="6"/>
        <v>320445859.87</v>
      </c>
      <c r="K34" s="49">
        <f t="shared" ref="K34:K40" si="7">+J34/J33-1</f>
        <v>9.8335272445003064E-2</v>
      </c>
      <c r="L34" s="12"/>
      <c r="M34" s="12"/>
      <c r="N34" s="12"/>
      <c r="O34" s="12"/>
      <c r="P34" s="56"/>
      <c r="Q34" s="35"/>
    </row>
    <row r="35" spans="2:17" x14ac:dyDescent="0.25">
      <c r="B35" s="16"/>
      <c r="C35" s="12"/>
      <c r="D35" s="12"/>
      <c r="E35" s="12"/>
      <c r="F35" s="12"/>
      <c r="G35" s="47">
        <v>2012</v>
      </c>
      <c r="H35" s="51">
        <v>253597887.59999999</v>
      </c>
      <c r="I35" s="51">
        <v>160605146.08000001</v>
      </c>
      <c r="J35" s="51">
        <f t="shared" si="6"/>
        <v>414203033.68000001</v>
      </c>
      <c r="K35" s="49">
        <f t="shared" si="7"/>
        <v>0.29258350801609945</v>
      </c>
      <c r="L35" s="12"/>
      <c r="M35" s="12"/>
      <c r="N35" s="12"/>
      <c r="O35" s="12"/>
      <c r="P35" s="56"/>
      <c r="Q35" s="35"/>
    </row>
    <row r="36" spans="2:17" x14ac:dyDescent="0.25">
      <c r="B36" s="16"/>
      <c r="C36" s="12"/>
      <c r="D36" s="12"/>
      <c r="E36" s="12"/>
      <c r="F36" s="12"/>
      <c r="G36" s="47">
        <v>2013</v>
      </c>
      <c r="H36" s="51">
        <v>221381136.80000001</v>
      </c>
      <c r="I36" s="51">
        <v>183617917.53</v>
      </c>
      <c r="J36" s="51">
        <f t="shared" si="6"/>
        <v>404999054.33000004</v>
      </c>
      <c r="K36" s="49">
        <f t="shared" si="7"/>
        <v>-2.2220936597752372E-2</v>
      </c>
      <c r="L36" s="12"/>
      <c r="M36" s="12"/>
      <c r="N36" s="12"/>
      <c r="O36" s="12"/>
      <c r="P36" s="56"/>
    </row>
    <row r="37" spans="2:17" ht="15" customHeight="1" x14ac:dyDescent="0.25">
      <c r="B37" s="16"/>
      <c r="C37" s="12"/>
      <c r="D37" s="12"/>
      <c r="E37" s="12"/>
      <c r="F37" s="12"/>
      <c r="G37" s="47">
        <v>2014</v>
      </c>
      <c r="H37" s="51">
        <v>247124594.15000001</v>
      </c>
      <c r="I37" s="51">
        <v>203060087.16999999</v>
      </c>
      <c r="J37" s="51">
        <f t="shared" si="6"/>
        <v>450184681.31999999</v>
      </c>
      <c r="K37" s="49">
        <f t="shared" si="7"/>
        <v>0.11156970987191972</v>
      </c>
      <c r="L37" s="12"/>
      <c r="M37" s="12"/>
      <c r="N37" s="12"/>
      <c r="O37" s="12"/>
      <c r="P37" s="17"/>
    </row>
    <row r="38" spans="2:17" x14ac:dyDescent="0.25">
      <c r="B38" s="16"/>
      <c r="C38" s="12"/>
      <c r="D38" s="12"/>
      <c r="E38" s="12"/>
      <c r="F38" s="12"/>
      <c r="G38" s="47">
        <v>2015</v>
      </c>
      <c r="H38" s="51">
        <v>99451336.540000007</v>
      </c>
      <c r="I38" s="51">
        <v>126485048.05</v>
      </c>
      <c r="J38" s="51">
        <f t="shared" si="6"/>
        <v>225936384.59</v>
      </c>
      <c r="K38" s="49">
        <f t="shared" si="7"/>
        <v>-0.49812511628000056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12">
        <f>+H39/H35-1</f>
        <v>-0.8928237737418756</v>
      </c>
      <c r="G39" s="47">
        <v>2016</v>
      </c>
      <c r="H39" s="51">
        <v>27179664.579999998</v>
      </c>
      <c r="I39" s="51">
        <v>74130648.329999998</v>
      </c>
      <c r="J39" s="51">
        <f t="shared" si="6"/>
        <v>101310312.91</v>
      </c>
      <c r="K39" s="49">
        <f t="shared" si="7"/>
        <v>-0.55159806113634691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7" t="s">
        <v>11</v>
      </c>
      <c r="H40" s="51">
        <v>6122089.6399999997</v>
      </c>
      <c r="I40" s="51">
        <v>24570275.059999999</v>
      </c>
      <c r="J40" s="51">
        <f t="shared" si="6"/>
        <v>30692364.699999999</v>
      </c>
      <c r="K40" s="49">
        <f t="shared" si="7"/>
        <v>-0.69704599839439974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53</v>
      </c>
      <c r="H41" s="50"/>
      <c r="I41" s="50"/>
      <c r="J41" s="50"/>
      <c r="K41" s="50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19" t="s">
        <v>27</v>
      </c>
      <c r="H42" s="119"/>
      <c r="I42" s="119"/>
      <c r="J42" s="119"/>
      <c r="K42" s="119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18" t="s">
        <v>45</v>
      </c>
      <c r="E44" s="118"/>
      <c r="F44" s="118"/>
      <c r="G44" s="118"/>
      <c r="H44" s="118"/>
      <c r="I44" s="21"/>
      <c r="J44" s="118" t="s">
        <v>46</v>
      </c>
      <c r="K44" s="118"/>
      <c r="L44" s="118"/>
      <c r="M44" s="118"/>
      <c r="N44" s="118"/>
      <c r="O44" s="12"/>
      <c r="P44" s="17"/>
    </row>
    <row r="45" spans="2:17" x14ac:dyDescent="0.25">
      <c r="B45" s="16"/>
      <c r="C45" s="12"/>
      <c r="D45" s="30" t="s">
        <v>16</v>
      </c>
      <c r="E45" s="30">
        <v>2016</v>
      </c>
      <c r="F45" s="30" t="s">
        <v>17</v>
      </c>
      <c r="G45" s="30" t="s">
        <v>11</v>
      </c>
      <c r="H45" s="30" t="s">
        <v>17</v>
      </c>
      <c r="I45" s="21"/>
      <c r="J45" s="30" t="s">
        <v>16</v>
      </c>
      <c r="K45" s="30">
        <v>2016</v>
      </c>
      <c r="L45" s="30" t="s">
        <v>17</v>
      </c>
      <c r="M45" s="30" t="s">
        <v>11</v>
      </c>
      <c r="N45" s="30" t="s">
        <v>17</v>
      </c>
      <c r="O45" s="12"/>
      <c r="P45" s="17"/>
    </row>
    <row r="46" spans="2:17" x14ac:dyDescent="0.25">
      <c r="B46" s="16"/>
      <c r="C46" s="12"/>
      <c r="D46" s="48" t="s">
        <v>18</v>
      </c>
      <c r="E46" s="57">
        <f>+E57</f>
        <v>20.968037840000001</v>
      </c>
      <c r="F46" s="49">
        <f>+E46/E48</f>
        <v>0.77146050784707665</v>
      </c>
      <c r="G46" s="57">
        <f>+G57</f>
        <v>6.1220896399999996</v>
      </c>
      <c r="H46" s="49">
        <f>+G46/G48</f>
        <v>1</v>
      </c>
      <c r="I46" s="21"/>
      <c r="J46" s="48" t="s">
        <v>18</v>
      </c>
      <c r="K46" s="57">
        <f>+K57</f>
        <v>13.206182810000001</v>
      </c>
      <c r="L46" s="49">
        <f>+K46/K48</f>
        <v>0.17814740741523474</v>
      </c>
      <c r="M46" s="57">
        <f>+M57</f>
        <v>0</v>
      </c>
      <c r="N46" s="49">
        <f>+M46/M48</f>
        <v>0</v>
      </c>
      <c r="O46" s="12"/>
      <c r="P46" s="17"/>
    </row>
    <row r="47" spans="2:17" x14ac:dyDescent="0.25">
      <c r="B47" s="16"/>
      <c r="C47" s="12"/>
      <c r="D47" s="48" t="s">
        <v>3</v>
      </c>
      <c r="E47" s="57">
        <v>6.2116267399999998</v>
      </c>
      <c r="F47" s="49">
        <f>+E47/E48</f>
        <v>0.22853949215292338</v>
      </c>
      <c r="G47" s="57"/>
      <c r="H47" s="49">
        <f>+G47/G48</f>
        <v>0</v>
      </c>
      <c r="I47" s="21"/>
      <c r="J47" s="48" t="s">
        <v>3</v>
      </c>
      <c r="K47" s="57">
        <v>60.924465519999998</v>
      </c>
      <c r="L47" s="49">
        <f>+K47/K48</f>
        <v>0.82185259258476528</v>
      </c>
      <c r="M47" s="57">
        <f>+I40/1000000</f>
        <v>24.57027506</v>
      </c>
      <c r="N47" s="49">
        <f>+M47/M48</f>
        <v>1</v>
      </c>
      <c r="O47" s="12"/>
      <c r="P47" s="17"/>
    </row>
    <row r="48" spans="2:17" x14ac:dyDescent="0.25">
      <c r="B48" s="16"/>
      <c r="C48" s="12"/>
      <c r="D48" s="52" t="s">
        <v>1</v>
      </c>
      <c r="E48" s="58">
        <f>SUM(E46:E47)</f>
        <v>27.179664580000001</v>
      </c>
      <c r="F48" s="53">
        <f>SUM(F46:F47)</f>
        <v>1</v>
      </c>
      <c r="G48" s="58">
        <f>SUM(G46:G47)</f>
        <v>6.1220896399999996</v>
      </c>
      <c r="H48" s="53">
        <f>SUM(H46:H47)</f>
        <v>1</v>
      </c>
      <c r="I48" s="21"/>
      <c r="J48" s="52" t="s">
        <v>1</v>
      </c>
      <c r="K48" s="58">
        <f>SUM(K46:K47)</f>
        <v>74.13064833</v>
      </c>
      <c r="L48" s="53">
        <f>SUM(L46:L47)</f>
        <v>1</v>
      </c>
      <c r="M48" s="58">
        <f>SUM(M46:M47)</f>
        <v>24.57027506</v>
      </c>
      <c r="N48" s="53">
        <f>SUM(N46:N47)</f>
        <v>1</v>
      </c>
      <c r="O48" s="12"/>
      <c r="P48" s="17"/>
    </row>
    <row r="49" spans="2:16" x14ac:dyDescent="0.25">
      <c r="B49" s="16"/>
      <c r="C49" s="12"/>
      <c r="D49" s="54"/>
      <c r="E49" s="54"/>
      <c r="F49" s="54"/>
      <c r="G49" s="54"/>
      <c r="H49" s="54"/>
      <c r="I49" s="21"/>
      <c r="J49" s="54"/>
      <c r="K49" s="54"/>
      <c r="L49" s="54"/>
      <c r="M49" s="54"/>
      <c r="N49" s="54"/>
      <c r="O49" s="12"/>
      <c r="P49" s="17"/>
    </row>
    <row r="50" spans="2:16" x14ac:dyDescent="0.25">
      <c r="B50" s="16"/>
      <c r="C50" s="12"/>
      <c r="D50" s="30" t="s">
        <v>19</v>
      </c>
      <c r="E50" s="30">
        <v>2016</v>
      </c>
      <c r="F50" s="30" t="s">
        <v>17</v>
      </c>
      <c r="G50" s="30" t="s">
        <v>11</v>
      </c>
      <c r="H50" s="30" t="s">
        <v>17</v>
      </c>
      <c r="I50" s="21"/>
      <c r="J50" s="30" t="s">
        <v>19</v>
      </c>
      <c r="K50" s="30">
        <v>2016</v>
      </c>
      <c r="L50" s="30" t="s">
        <v>17</v>
      </c>
      <c r="M50" s="30" t="s">
        <v>11</v>
      </c>
      <c r="N50" s="30" t="s">
        <v>17</v>
      </c>
      <c r="O50" s="12"/>
      <c r="P50" s="17"/>
    </row>
    <row r="51" spans="2:16" x14ac:dyDescent="0.25">
      <c r="B51" s="16"/>
      <c r="C51" s="12"/>
      <c r="D51" s="55" t="s">
        <v>20</v>
      </c>
      <c r="E51" s="57"/>
      <c r="F51" s="49">
        <f>+E51/E57</f>
        <v>0</v>
      </c>
      <c r="G51" s="57"/>
      <c r="H51" s="49">
        <f>+G51/G57</f>
        <v>0</v>
      </c>
      <c r="I51" s="21"/>
      <c r="J51" s="55" t="s">
        <v>20</v>
      </c>
      <c r="K51" s="57"/>
      <c r="L51" s="49">
        <f>+K51/K57</f>
        <v>0</v>
      </c>
      <c r="M51" s="57"/>
      <c r="N51" s="49" t="e">
        <f>+M51/M57</f>
        <v>#DIV/0!</v>
      </c>
      <c r="O51" s="12"/>
      <c r="P51" s="17"/>
    </row>
    <row r="52" spans="2:16" x14ac:dyDescent="0.25">
      <c r="B52" s="16"/>
      <c r="C52" s="12"/>
      <c r="D52" s="55" t="s">
        <v>21</v>
      </c>
      <c r="E52" s="57"/>
      <c r="F52" s="49">
        <f>+E52/E57</f>
        <v>0</v>
      </c>
      <c r="G52" s="57"/>
      <c r="H52" s="49">
        <f>+G52/G57</f>
        <v>0</v>
      </c>
      <c r="I52" s="21"/>
      <c r="J52" s="55" t="s">
        <v>21</v>
      </c>
      <c r="K52" s="57"/>
      <c r="L52" s="49">
        <f>+K52/K57</f>
        <v>0</v>
      </c>
      <c r="M52" s="57"/>
      <c r="N52" s="49" t="e">
        <f>+M52/M57</f>
        <v>#DIV/0!</v>
      </c>
      <c r="O52" s="12"/>
      <c r="P52" s="17"/>
    </row>
    <row r="53" spans="2:16" x14ac:dyDescent="0.25">
      <c r="B53" s="16"/>
      <c r="C53" s="12"/>
      <c r="D53" s="55" t="s">
        <v>22</v>
      </c>
      <c r="E53" s="57"/>
      <c r="F53" s="49">
        <f>+E53/E57</f>
        <v>0</v>
      </c>
      <c r="G53" s="57"/>
      <c r="H53" s="49">
        <f>+G53/G57</f>
        <v>0</v>
      </c>
      <c r="I53" s="21"/>
      <c r="J53" s="55" t="s">
        <v>22</v>
      </c>
      <c r="K53" s="57"/>
      <c r="L53" s="49">
        <f>+K53/K57</f>
        <v>0</v>
      </c>
      <c r="M53" s="57"/>
      <c r="N53" s="49" t="e">
        <f>+M53/M57</f>
        <v>#DIV/0!</v>
      </c>
      <c r="O53" s="12"/>
      <c r="P53" s="17"/>
    </row>
    <row r="54" spans="2:16" x14ac:dyDescent="0.25">
      <c r="B54" s="16"/>
      <c r="C54" s="12"/>
      <c r="D54" s="55" t="s">
        <v>23</v>
      </c>
      <c r="E54" s="57"/>
      <c r="F54" s="49">
        <f>+E54/E57</f>
        <v>0</v>
      </c>
      <c r="G54" s="57"/>
      <c r="H54" s="49">
        <f>+G54/G57</f>
        <v>0</v>
      </c>
      <c r="I54" s="21"/>
      <c r="J54" s="55" t="s">
        <v>23</v>
      </c>
      <c r="K54" s="57"/>
      <c r="L54" s="49">
        <f>+K54/K57</f>
        <v>0</v>
      </c>
      <c r="M54" s="57"/>
      <c r="N54" s="49" t="e">
        <f>+M54/M57</f>
        <v>#DIV/0!</v>
      </c>
      <c r="O54" s="12"/>
      <c r="P54" s="17"/>
    </row>
    <row r="55" spans="2:16" x14ac:dyDescent="0.25">
      <c r="B55" s="16"/>
      <c r="C55" s="12"/>
      <c r="D55" s="48" t="s">
        <v>24</v>
      </c>
      <c r="E55" s="57">
        <v>3.8</v>
      </c>
      <c r="F55" s="49">
        <f>+E55/E57</f>
        <v>0.18122821167133107</v>
      </c>
      <c r="G55" s="57"/>
      <c r="H55" s="49">
        <f>+G55/G57</f>
        <v>0</v>
      </c>
      <c r="I55" s="21"/>
      <c r="J55" s="48" t="s">
        <v>24</v>
      </c>
      <c r="K55" s="57"/>
      <c r="L55" s="49">
        <f>+K55/K57</f>
        <v>0</v>
      </c>
      <c r="M55" s="57"/>
      <c r="N55" s="49" t="e">
        <f>+M55/M57</f>
        <v>#DIV/0!</v>
      </c>
      <c r="O55" s="12"/>
      <c r="P55" s="17"/>
    </row>
    <row r="56" spans="2:16" x14ac:dyDescent="0.25">
      <c r="B56" s="16"/>
      <c r="C56" s="12"/>
      <c r="D56" s="55" t="s">
        <v>25</v>
      </c>
      <c r="E56" s="57">
        <v>17.16803784</v>
      </c>
      <c r="F56" s="49">
        <f>+E56/E57</f>
        <v>0.81877178832866893</v>
      </c>
      <c r="G56" s="57">
        <v>6.1220896399999996</v>
      </c>
      <c r="H56" s="49">
        <f>+G56/G57</f>
        <v>1</v>
      </c>
      <c r="I56" s="21"/>
      <c r="J56" s="55" t="s">
        <v>25</v>
      </c>
      <c r="K56" s="110">
        <v>13.206182810000001</v>
      </c>
      <c r="L56" s="49">
        <f>+K56/K57</f>
        <v>1</v>
      </c>
      <c r="M56" s="57"/>
      <c r="N56" s="49" t="e">
        <f>+M56/M57</f>
        <v>#DIV/0!</v>
      </c>
      <c r="O56" s="12"/>
      <c r="P56" s="17"/>
    </row>
    <row r="57" spans="2:16" x14ac:dyDescent="0.25">
      <c r="B57" s="16"/>
      <c r="C57" s="12"/>
      <c r="D57" s="52" t="s">
        <v>1</v>
      </c>
      <c r="E57" s="58">
        <f>SUM(E51:E56)</f>
        <v>20.968037840000001</v>
      </c>
      <c r="F57" s="53">
        <f>SUM(F51:F56)</f>
        <v>1</v>
      </c>
      <c r="G57" s="58">
        <f>SUM(G51:G56)</f>
        <v>6.1220896399999996</v>
      </c>
      <c r="H57" s="53">
        <f>SUM(H51:H56)</f>
        <v>1</v>
      </c>
      <c r="I57" s="21"/>
      <c r="J57" s="52" t="s">
        <v>1</v>
      </c>
      <c r="K57" s="58">
        <f>SUM(K51:K56)</f>
        <v>13.206182810000001</v>
      </c>
      <c r="L57" s="53">
        <f>SUM(L51:L56)</f>
        <v>1</v>
      </c>
      <c r="M57" s="58">
        <f>SUM(M51:M56)</f>
        <v>0</v>
      </c>
      <c r="N57" s="53" t="e">
        <f>SUM(N51:N56)</f>
        <v>#DIV/0!</v>
      </c>
      <c r="O57" s="12"/>
      <c r="P57" s="17"/>
    </row>
    <row r="58" spans="2:16" x14ac:dyDescent="0.25">
      <c r="B58" s="16"/>
      <c r="C58" s="12"/>
      <c r="D58" s="119" t="s">
        <v>27</v>
      </c>
      <c r="E58" s="119"/>
      <c r="F58" s="119"/>
      <c r="G58" s="119"/>
      <c r="H58" s="119"/>
      <c r="I58" s="12"/>
      <c r="J58" s="119" t="s">
        <v>27</v>
      </c>
      <c r="K58" s="119"/>
      <c r="L58" s="119"/>
      <c r="M58" s="119"/>
      <c r="N58" s="119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H35:I47">
    <sortCondition descending="1" ref="H35:H47"/>
  </sortState>
  <mergeCells count="16">
    <mergeCell ref="B1:P2"/>
    <mergeCell ref="C11:C12"/>
    <mergeCell ref="D11:F11"/>
    <mergeCell ref="G11:I11"/>
    <mergeCell ref="J11:J12"/>
    <mergeCell ref="K11:K12"/>
    <mergeCell ref="L11:L12"/>
    <mergeCell ref="M11:O11"/>
    <mergeCell ref="C8:O9"/>
    <mergeCell ref="C23:O23"/>
    <mergeCell ref="G42:K42"/>
    <mergeCell ref="C28:O29"/>
    <mergeCell ref="D58:H58"/>
    <mergeCell ref="J58:N58"/>
    <mergeCell ref="D44:H44"/>
    <mergeCell ref="J44:N44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A22" sqref="A2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41" t="s">
        <v>79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17" ht="15" customHeight="1" x14ac:dyDescent="0.2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2:17" x14ac:dyDescent="0.25">
      <c r="B3" s="5" t="str">
        <f>+B7</f>
        <v>1. Presupuesto y Ejecución del Canon y otros, mayo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54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ht="15" customHeight="1" x14ac:dyDescent="0.25">
      <c r="B8" s="16"/>
      <c r="C8" s="125" t="s">
        <v>28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7"/>
    </row>
    <row r="9" spans="2:17" x14ac:dyDescent="0.25">
      <c r="B9" s="16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7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9"/>
      <c r="Q10" s="40"/>
    </row>
    <row r="11" spans="2:17" ht="15" customHeight="1" x14ac:dyDescent="0.25">
      <c r="B11" s="16"/>
      <c r="C11" s="147" t="s">
        <v>2</v>
      </c>
      <c r="D11" s="148" t="s">
        <v>4</v>
      </c>
      <c r="E11" s="149"/>
      <c r="F11" s="150"/>
      <c r="G11" s="151" t="s">
        <v>5</v>
      </c>
      <c r="H11" s="152"/>
      <c r="I11" s="153"/>
      <c r="J11" s="154" t="s">
        <v>6</v>
      </c>
      <c r="K11" s="154" t="s">
        <v>7</v>
      </c>
      <c r="L11" s="142" t="s">
        <v>8</v>
      </c>
      <c r="M11" s="143" t="s">
        <v>12</v>
      </c>
      <c r="N11" s="144"/>
      <c r="O11" s="145"/>
      <c r="P11" s="33" t="s">
        <v>14</v>
      </c>
      <c r="Q11" s="34"/>
    </row>
    <row r="12" spans="2:17" x14ac:dyDescent="0.25">
      <c r="B12" s="16"/>
      <c r="C12" s="147"/>
      <c r="D12" s="24" t="s">
        <v>9</v>
      </c>
      <c r="E12" s="24" t="s">
        <v>10</v>
      </c>
      <c r="F12" s="24" t="s">
        <v>1</v>
      </c>
      <c r="G12" s="24" t="s">
        <v>9</v>
      </c>
      <c r="H12" s="24" t="s">
        <v>10</v>
      </c>
      <c r="I12" s="24" t="s">
        <v>1</v>
      </c>
      <c r="J12" s="155"/>
      <c r="K12" s="155"/>
      <c r="L12" s="142"/>
      <c r="M12" s="45" t="s">
        <v>9</v>
      </c>
      <c r="N12" s="30" t="s">
        <v>10</v>
      </c>
      <c r="O12" s="30" t="s">
        <v>1</v>
      </c>
      <c r="P12" s="33" t="s">
        <v>9</v>
      </c>
      <c r="Q12" s="34" t="s">
        <v>10</v>
      </c>
    </row>
    <row r="13" spans="2:17" x14ac:dyDescent="0.25">
      <c r="B13" s="16"/>
      <c r="C13" s="25">
        <v>2009</v>
      </c>
      <c r="D13" s="41">
        <v>116508977</v>
      </c>
      <c r="E13" s="41">
        <v>20062573</v>
      </c>
      <c r="F13" s="42">
        <f>+E13+D13</f>
        <v>136571550</v>
      </c>
      <c r="G13" s="41">
        <v>113817118</v>
      </c>
      <c r="H13" s="41">
        <v>6522274</v>
      </c>
      <c r="I13" s="42">
        <f>+H13+G13</f>
        <v>120339392</v>
      </c>
      <c r="J13" s="26">
        <f>+G13/D13</f>
        <v>0.97689569448369629</v>
      </c>
      <c r="K13" s="26">
        <f t="shared" ref="K13:L21" si="0">+H13/E13</f>
        <v>0.32509658656444512</v>
      </c>
      <c r="L13" s="44">
        <f t="shared" si="0"/>
        <v>0.88114539228704658</v>
      </c>
      <c r="M13" s="46">
        <f>+G13/P13</f>
        <v>0.19146660839151633</v>
      </c>
      <c r="N13" s="31">
        <f>+H13/Q13</f>
        <v>3.0669530659794598E-2</v>
      </c>
      <c r="O13" s="32">
        <f>+I13/SUM(P13:Q13)</f>
        <v>0.14909876982808073</v>
      </c>
      <c r="P13" s="37">
        <v>594448917</v>
      </c>
      <c r="Q13" s="38">
        <v>212662987</v>
      </c>
    </row>
    <row r="14" spans="2:17" x14ac:dyDescent="0.25">
      <c r="B14" s="16"/>
      <c r="C14" s="25">
        <v>2010</v>
      </c>
      <c r="D14" s="41">
        <v>89108286</v>
      </c>
      <c r="E14" s="41">
        <v>63674379</v>
      </c>
      <c r="F14" s="42">
        <f t="shared" ref="F14:F21" si="1">+E14+D14</f>
        <v>152782665</v>
      </c>
      <c r="G14" s="41">
        <v>88724478</v>
      </c>
      <c r="H14" s="41">
        <v>47111502</v>
      </c>
      <c r="I14" s="42">
        <f t="shared" ref="I14:I21" si="2">+H14+G14</f>
        <v>135835980</v>
      </c>
      <c r="J14" s="26">
        <f t="shared" ref="J14:J20" si="3">+G14/D14</f>
        <v>0.99569279112831321</v>
      </c>
      <c r="K14" s="26">
        <f t="shared" si="0"/>
        <v>0.73988160921051149</v>
      </c>
      <c r="L14" s="44">
        <f t="shared" si="0"/>
        <v>0.88907979187298503</v>
      </c>
      <c r="M14" s="46">
        <f t="shared" ref="M14:N21" si="4">+G14/P14</f>
        <v>0.14065432899293581</v>
      </c>
      <c r="N14" s="31">
        <f t="shared" si="4"/>
        <v>0.18504869239457508</v>
      </c>
      <c r="O14" s="32">
        <f t="shared" ref="O14:O21" si="5">+I14/SUM(P14:Q14)</f>
        <v>0.15341975226178287</v>
      </c>
      <c r="P14" s="37">
        <v>630798061</v>
      </c>
      <c r="Q14" s="38">
        <v>254589759</v>
      </c>
    </row>
    <row r="15" spans="2:17" x14ac:dyDescent="0.25">
      <c r="B15" s="16"/>
      <c r="C15" s="25">
        <v>2011</v>
      </c>
      <c r="D15" s="41">
        <v>82017359</v>
      </c>
      <c r="E15" s="41">
        <v>86175140</v>
      </c>
      <c r="F15" s="42">
        <f t="shared" si="1"/>
        <v>168192499</v>
      </c>
      <c r="G15" s="41">
        <v>81638084</v>
      </c>
      <c r="H15" s="41">
        <v>40414515</v>
      </c>
      <c r="I15" s="42">
        <f t="shared" si="2"/>
        <v>122052599</v>
      </c>
      <c r="J15" s="26">
        <f t="shared" si="3"/>
        <v>0.99537567406919314</v>
      </c>
      <c r="K15" s="26">
        <f t="shared" si="0"/>
        <v>0.46898113539473218</v>
      </c>
      <c r="L15" s="44">
        <f t="shared" si="0"/>
        <v>0.72567207054816396</v>
      </c>
      <c r="M15" s="46">
        <f t="shared" si="4"/>
        <v>0.11763128042926189</v>
      </c>
      <c r="N15" s="31">
        <f t="shared" si="4"/>
        <v>0.12115968396126715</v>
      </c>
      <c r="O15" s="32">
        <f t="shared" si="5"/>
        <v>0.11877663904758427</v>
      </c>
      <c r="P15" s="37">
        <v>694016793</v>
      </c>
      <c r="Q15" s="38">
        <v>333564051</v>
      </c>
    </row>
    <row r="16" spans="2:17" x14ac:dyDescent="0.25">
      <c r="B16" s="16"/>
      <c r="C16" s="25">
        <v>2012</v>
      </c>
      <c r="D16" s="41">
        <v>53830647</v>
      </c>
      <c r="E16" s="41">
        <v>120753863</v>
      </c>
      <c r="F16" s="42">
        <f t="shared" si="1"/>
        <v>174584510</v>
      </c>
      <c r="G16" s="41">
        <v>53751470</v>
      </c>
      <c r="H16" s="41">
        <v>82766922</v>
      </c>
      <c r="I16" s="42">
        <f t="shared" si="2"/>
        <v>136518392</v>
      </c>
      <c r="J16" s="26">
        <f t="shared" si="3"/>
        <v>0.99852914641728163</v>
      </c>
      <c r="K16" s="26">
        <f t="shared" si="0"/>
        <v>0.68541842011298637</v>
      </c>
      <c r="L16" s="44">
        <f t="shared" si="0"/>
        <v>0.78196165284079322</v>
      </c>
      <c r="M16" s="46">
        <f t="shared" si="4"/>
        <v>6.4499072789087689E-2</v>
      </c>
      <c r="N16" s="31">
        <f t="shared" si="4"/>
        <v>0.16627964044564897</v>
      </c>
      <c r="O16" s="32">
        <f t="shared" si="5"/>
        <v>0.10255861771267223</v>
      </c>
      <c r="P16" s="37">
        <v>833368104</v>
      </c>
      <c r="Q16" s="38">
        <v>497757403</v>
      </c>
    </row>
    <row r="17" spans="2:17" x14ac:dyDescent="0.25">
      <c r="B17" s="16"/>
      <c r="C17" s="25">
        <v>2013</v>
      </c>
      <c r="D17" s="41">
        <v>96705597</v>
      </c>
      <c r="E17" s="41">
        <v>104933060</v>
      </c>
      <c r="F17" s="42">
        <f t="shared" si="1"/>
        <v>201638657</v>
      </c>
      <c r="G17" s="41">
        <v>79883490</v>
      </c>
      <c r="H17" s="41">
        <v>49690293</v>
      </c>
      <c r="I17" s="42">
        <f t="shared" si="2"/>
        <v>129573783</v>
      </c>
      <c r="J17" s="26">
        <f t="shared" si="3"/>
        <v>0.82604825861320108</v>
      </c>
      <c r="K17" s="26">
        <f t="shared" si="0"/>
        <v>0.47354278051169002</v>
      </c>
      <c r="L17" s="44">
        <f t="shared" si="0"/>
        <v>0.64260387828312104</v>
      </c>
      <c r="M17" s="46">
        <f t="shared" si="4"/>
        <v>8.530937563990583E-2</v>
      </c>
      <c r="N17" s="31">
        <f t="shared" si="4"/>
        <v>9.611176973536785E-2</v>
      </c>
      <c r="O17" s="32">
        <f t="shared" si="5"/>
        <v>8.9152009440972388E-2</v>
      </c>
      <c r="P17" s="37">
        <v>936397546</v>
      </c>
      <c r="Q17" s="38">
        <v>517005286</v>
      </c>
    </row>
    <row r="18" spans="2:17" x14ac:dyDescent="0.25">
      <c r="B18" s="16"/>
      <c r="C18" s="25">
        <v>2014</v>
      </c>
      <c r="D18" s="41">
        <v>77856448</v>
      </c>
      <c r="E18" s="41">
        <v>147546693</v>
      </c>
      <c r="F18" s="42">
        <f t="shared" si="1"/>
        <v>225403141</v>
      </c>
      <c r="G18" s="41">
        <v>65140390</v>
      </c>
      <c r="H18" s="41">
        <v>104594542</v>
      </c>
      <c r="I18" s="42">
        <f t="shared" si="2"/>
        <v>169734932</v>
      </c>
      <c r="J18" s="26">
        <f t="shared" si="3"/>
        <v>0.83667302674789379</v>
      </c>
      <c r="K18" s="26">
        <f t="shared" si="0"/>
        <v>0.70889113048436814</v>
      </c>
      <c r="L18" s="44">
        <f t="shared" si="0"/>
        <v>0.75302824639874921</v>
      </c>
      <c r="M18" s="46">
        <f t="shared" si="4"/>
        <v>5.8959851409175097E-2</v>
      </c>
      <c r="N18" s="31">
        <f t="shared" si="4"/>
        <v>0.18731241522797881</v>
      </c>
      <c r="O18" s="32">
        <f t="shared" si="5"/>
        <v>0.10205185364172849</v>
      </c>
      <c r="P18" s="37">
        <v>1104826224</v>
      </c>
      <c r="Q18" s="38">
        <v>558396206</v>
      </c>
    </row>
    <row r="19" spans="2:17" x14ac:dyDescent="0.25">
      <c r="B19" s="16"/>
      <c r="C19" s="25">
        <v>2015</v>
      </c>
      <c r="D19" s="41">
        <v>96711870</v>
      </c>
      <c r="E19" s="41">
        <v>181294089</v>
      </c>
      <c r="F19" s="42">
        <f t="shared" si="1"/>
        <v>278005959</v>
      </c>
      <c r="G19" s="41">
        <v>72688591</v>
      </c>
      <c r="H19" s="41">
        <v>93816746</v>
      </c>
      <c r="I19" s="42">
        <f t="shared" si="2"/>
        <v>166505337</v>
      </c>
      <c r="J19" s="26">
        <f t="shared" si="3"/>
        <v>0.75159947791310411</v>
      </c>
      <c r="K19" s="26">
        <f t="shared" si="0"/>
        <v>0.51748375535839997</v>
      </c>
      <c r="L19" s="44">
        <f t="shared" si="0"/>
        <v>0.59892722299524526</v>
      </c>
      <c r="M19" s="46">
        <f t="shared" si="4"/>
        <v>5.3306296448236978E-2</v>
      </c>
      <c r="N19" s="31">
        <f t="shared" si="4"/>
        <v>0.17376791928985155</v>
      </c>
      <c r="O19" s="32">
        <f t="shared" si="5"/>
        <v>8.7473291464469791E-2</v>
      </c>
      <c r="P19" s="37">
        <v>1363602348</v>
      </c>
      <c r="Q19" s="38">
        <v>539896814</v>
      </c>
    </row>
    <row r="20" spans="2:17" ht="15" customHeight="1" x14ac:dyDescent="0.25">
      <c r="B20" s="16"/>
      <c r="C20" s="25">
        <v>2016</v>
      </c>
      <c r="D20" s="41">
        <v>111222851</v>
      </c>
      <c r="E20" s="41">
        <v>186004413</v>
      </c>
      <c r="F20" s="42">
        <f t="shared" si="1"/>
        <v>297227264</v>
      </c>
      <c r="G20" s="41">
        <v>70215938</v>
      </c>
      <c r="H20" s="41">
        <v>128617409</v>
      </c>
      <c r="I20" s="42">
        <f t="shared" si="2"/>
        <v>198833347</v>
      </c>
      <c r="J20" s="26">
        <f t="shared" si="3"/>
        <v>0.63130856086399012</v>
      </c>
      <c r="K20" s="26">
        <f t="shared" si="0"/>
        <v>0.69147504043358365</v>
      </c>
      <c r="L20" s="44">
        <f t="shared" si="0"/>
        <v>0.66896066102468987</v>
      </c>
      <c r="M20" s="46">
        <f t="shared" si="4"/>
        <v>5.6913641669614053E-2</v>
      </c>
      <c r="N20" s="31">
        <f t="shared" si="4"/>
        <v>0.20756550181536326</v>
      </c>
      <c r="O20" s="32">
        <f t="shared" si="5"/>
        <v>0.10728176459475948</v>
      </c>
      <c r="P20" s="37">
        <v>1233727731</v>
      </c>
      <c r="Q20" s="38">
        <v>619647330</v>
      </c>
    </row>
    <row r="21" spans="2:17" x14ac:dyDescent="0.25">
      <c r="B21" s="16"/>
      <c r="C21" s="25" t="s">
        <v>11</v>
      </c>
      <c r="D21" s="41">
        <v>88599781</v>
      </c>
      <c r="E21" s="41">
        <v>106899209</v>
      </c>
      <c r="F21" s="42">
        <f t="shared" si="1"/>
        <v>195498990</v>
      </c>
      <c r="G21" s="41">
        <v>7798525</v>
      </c>
      <c r="H21" s="41">
        <v>16566736</v>
      </c>
      <c r="I21" s="42">
        <f t="shared" si="2"/>
        <v>24365261</v>
      </c>
      <c r="J21" s="26">
        <f>+G21/D21</f>
        <v>8.8019687091551613E-2</v>
      </c>
      <c r="K21" s="26">
        <f t="shared" si="0"/>
        <v>0.15497529079003755</v>
      </c>
      <c r="L21" s="44">
        <f t="shared" si="0"/>
        <v>0.12463113492299883</v>
      </c>
      <c r="M21" s="46">
        <f t="shared" si="4"/>
        <v>2.3838458006622151E-2</v>
      </c>
      <c r="N21" s="31">
        <f t="shared" si="4"/>
        <v>8.8216699620791011E-2</v>
      </c>
      <c r="O21" s="32">
        <f t="shared" si="5"/>
        <v>4.7317028544809805E-2</v>
      </c>
      <c r="P21" s="37">
        <v>327140497</v>
      </c>
      <c r="Q21" s="38">
        <v>187795917</v>
      </c>
    </row>
    <row r="22" spans="2:17" x14ac:dyDescent="0.25">
      <c r="B22" s="16"/>
      <c r="C22" s="27" t="s">
        <v>53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04">
        <f>SUM(P13:P21)</f>
        <v>7718326221</v>
      </c>
      <c r="Q22" s="104">
        <f>SUM(Q13:Q21)</f>
        <v>3721315753</v>
      </c>
    </row>
    <row r="23" spans="2:17" x14ac:dyDescent="0.25">
      <c r="B23" s="16"/>
      <c r="C23" s="146" t="s">
        <v>13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39"/>
      <c r="Q23" s="40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87"/>
      <c r="Q24" s="40"/>
    </row>
    <row r="26" spans="2:17" ht="15" customHeight="1" x14ac:dyDescent="0.25"/>
    <row r="27" spans="2:17" x14ac:dyDescent="0.25">
      <c r="B27" s="13" t="s">
        <v>26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5"/>
    </row>
    <row r="28" spans="2:17" ht="15" customHeight="1" x14ac:dyDescent="0.25">
      <c r="B28" s="16"/>
      <c r="C28" s="125" t="s">
        <v>29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7"/>
      <c r="Q28" s="35"/>
    </row>
    <row r="29" spans="2:17" x14ac:dyDescent="0.25">
      <c r="B29" s="16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7"/>
      <c r="Q29" s="35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5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9</v>
      </c>
      <c r="I31" s="30" t="s">
        <v>10</v>
      </c>
      <c r="J31" s="30" t="s">
        <v>1</v>
      </c>
      <c r="K31" s="30" t="s">
        <v>15</v>
      </c>
      <c r="L31" s="12"/>
      <c r="M31" s="12"/>
      <c r="N31" s="12"/>
      <c r="O31" s="12"/>
      <c r="P31" s="56"/>
      <c r="Q31" s="35"/>
    </row>
    <row r="32" spans="2:17" x14ac:dyDescent="0.25">
      <c r="B32" s="16"/>
      <c r="C32" s="12"/>
      <c r="D32" s="12"/>
      <c r="E32" s="12"/>
      <c r="F32" s="12"/>
      <c r="G32" s="47">
        <v>2009</v>
      </c>
      <c r="H32" s="51">
        <v>77940304.890000001</v>
      </c>
      <c r="I32" s="51">
        <v>17303403.789999999</v>
      </c>
      <c r="J32" s="51">
        <f>+I32+H32</f>
        <v>95243708.680000007</v>
      </c>
      <c r="K32" s="48"/>
      <c r="L32" s="12"/>
      <c r="M32" s="12"/>
      <c r="N32" s="12"/>
      <c r="O32" s="12"/>
      <c r="P32" s="56"/>
      <c r="Q32" s="35"/>
    </row>
    <row r="33" spans="2:17" ht="15" customHeight="1" x14ac:dyDescent="0.25">
      <c r="B33" s="16"/>
      <c r="C33" s="12"/>
      <c r="D33" s="12"/>
      <c r="E33" s="12"/>
      <c r="F33" s="12"/>
      <c r="G33" s="47">
        <v>2010</v>
      </c>
      <c r="H33" s="51">
        <v>79536934.049999997</v>
      </c>
      <c r="I33" s="51">
        <v>50368389.479999997</v>
      </c>
      <c r="J33" s="51">
        <f t="shared" ref="J33:J40" si="6">+I33+H33</f>
        <v>129905323.53</v>
      </c>
      <c r="K33" s="49">
        <f>+J33/J32-1</f>
        <v>0.36392550574081639</v>
      </c>
      <c r="L33" s="12"/>
      <c r="M33" s="12"/>
      <c r="N33" s="12"/>
      <c r="O33" s="12"/>
      <c r="P33" s="56"/>
      <c r="Q33" s="35"/>
    </row>
    <row r="34" spans="2:17" x14ac:dyDescent="0.25">
      <c r="B34" s="16"/>
      <c r="C34" s="12"/>
      <c r="D34" s="12"/>
      <c r="E34" s="12"/>
      <c r="F34" s="12"/>
      <c r="G34" s="47">
        <v>2011</v>
      </c>
      <c r="H34" s="51">
        <v>62341939.579999998</v>
      </c>
      <c r="I34" s="51">
        <v>67412605.989999995</v>
      </c>
      <c r="J34" s="51">
        <f t="shared" si="6"/>
        <v>129754545.56999999</v>
      </c>
      <c r="K34" s="49">
        <f t="shared" ref="K34:K40" si="7">+J34/J33-1</f>
        <v>-1.1606757591053896E-3</v>
      </c>
      <c r="L34" s="12"/>
      <c r="M34" s="12"/>
      <c r="N34" s="12"/>
      <c r="O34" s="12"/>
      <c r="P34" s="56"/>
      <c r="Q34" s="35"/>
    </row>
    <row r="35" spans="2:17" ht="15" customHeight="1" x14ac:dyDescent="0.25">
      <c r="B35" s="16"/>
      <c r="C35" s="12"/>
      <c r="D35" s="12"/>
      <c r="E35" s="12"/>
      <c r="F35" s="12"/>
      <c r="G35" s="47">
        <v>2012</v>
      </c>
      <c r="H35" s="51">
        <v>60637831.539999999</v>
      </c>
      <c r="I35" s="51">
        <v>71145601.819999993</v>
      </c>
      <c r="J35" s="51">
        <f t="shared" si="6"/>
        <v>131783433.35999998</v>
      </c>
      <c r="K35" s="49">
        <f t="shared" si="7"/>
        <v>1.5636352322666358E-2</v>
      </c>
      <c r="L35" s="12"/>
      <c r="M35" s="12"/>
      <c r="N35" s="12"/>
      <c r="O35" s="12"/>
      <c r="P35" s="56"/>
      <c r="Q35" s="35"/>
    </row>
    <row r="36" spans="2:17" x14ac:dyDescent="0.25">
      <c r="B36" s="16"/>
      <c r="C36" s="12"/>
      <c r="D36" s="12"/>
      <c r="E36" s="12"/>
      <c r="F36" s="12"/>
      <c r="G36" s="47">
        <v>2013</v>
      </c>
      <c r="H36" s="51">
        <v>46517470.350000001</v>
      </c>
      <c r="I36" s="51">
        <v>68956295.409999996</v>
      </c>
      <c r="J36" s="51">
        <f t="shared" si="6"/>
        <v>115473765.75999999</v>
      </c>
      <c r="K36" s="49">
        <f t="shared" si="7"/>
        <v>-0.12376113737639527</v>
      </c>
      <c r="L36" s="12"/>
      <c r="M36" s="12"/>
      <c r="N36" s="12"/>
      <c r="O36" s="12"/>
      <c r="P36" s="56"/>
    </row>
    <row r="37" spans="2:17" x14ac:dyDescent="0.25">
      <c r="B37" s="16"/>
      <c r="C37" s="12"/>
      <c r="D37" s="12"/>
      <c r="E37" s="12"/>
      <c r="F37" s="12"/>
      <c r="G37" s="47">
        <v>2014</v>
      </c>
      <c r="H37" s="51">
        <v>56159593.189999998</v>
      </c>
      <c r="I37" s="51">
        <v>91257353.230000004</v>
      </c>
      <c r="J37" s="51">
        <f t="shared" si="6"/>
        <v>147416946.42000002</v>
      </c>
      <c r="K37" s="49">
        <f t="shared" si="7"/>
        <v>0.27662716678341082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7">
        <v>2015</v>
      </c>
      <c r="H38" s="51">
        <v>69159549.829999998</v>
      </c>
      <c r="I38" s="51">
        <v>140187496.93000001</v>
      </c>
      <c r="J38" s="51">
        <f t="shared" si="6"/>
        <v>209347046.75999999</v>
      </c>
      <c r="K38" s="49">
        <f t="shared" si="7"/>
        <v>0.42010163582928439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7">
        <v>2016</v>
      </c>
      <c r="H39" s="51">
        <v>56922048.270000003</v>
      </c>
      <c r="I39" s="51">
        <v>106067076.31</v>
      </c>
      <c r="J39" s="51">
        <f t="shared" si="6"/>
        <v>162989124.58000001</v>
      </c>
      <c r="K39" s="49">
        <f t="shared" si="7"/>
        <v>-0.22144053569165323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7" t="s">
        <v>11</v>
      </c>
      <c r="H40" s="51">
        <v>17078227.149999999</v>
      </c>
      <c r="I40" s="51">
        <v>44037911.549999997</v>
      </c>
      <c r="J40" s="51">
        <f t="shared" si="6"/>
        <v>61116138.699999996</v>
      </c>
      <c r="K40" s="49">
        <f t="shared" si="7"/>
        <v>-0.62502934562359502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53</v>
      </c>
      <c r="H41" s="50"/>
      <c r="I41" s="50"/>
      <c r="J41" s="50"/>
      <c r="K41" s="50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19" t="s">
        <v>27</v>
      </c>
      <c r="H42" s="119"/>
      <c r="I42" s="119"/>
      <c r="J42" s="119"/>
      <c r="K42" s="119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18" t="s">
        <v>45</v>
      </c>
      <c r="E44" s="118"/>
      <c r="F44" s="118"/>
      <c r="G44" s="118"/>
      <c r="H44" s="118"/>
      <c r="I44" s="21"/>
      <c r="J44" s="118" t="s">
        <v>46</v>
      </c>
      <c r="K44" s="118"/>
      <c r="L44" s="118"/>
      <c r="M44" s="118"/>
      <c r="N44" s="118"/>
      <c r="O44" s="12"/>
      <c r="P44" s="17"/>
    </row>
    <row r="45" spans="2:17" x14ac:dyDescent="0.25">
      <c r="B45" s="16"/>
      <c r="C45" s="12"/>
      <c r="D45" s="30" t="s">
        <v>16</v>
      </c>
      <c r="E45" s="30">
        <v>2016</v>
      </c>
      <c r="F45" s="30" t="s">
        <v>17</v>
      </c>
      <c r="G45" s="30" t="s">
        <v>11</v>
      </c>
      <c r="H45" s="30" t="s">
        <v>17</v>
      </c>
      <c r="I45" s="21"/>
      <c r="J45" s="30" t="s">
        <v>16</v>
      </c>
      <c r="K45" s="30">
        <v>2016</v>
      </c>
      <c r="L45" s="30" t="s">
        <v>17</v>
      </c>
      <c r="M45" s="30" t="s">
        <v>11</v>
      </c>
      <c r="N45" s="30" t="s">
        <v>17</v>
      </c>
      <c r="O45" s="12"/>
      <c r="P45" s="17"/>
    </row>
    <row r="46" spans="2:17" x14ac:dyDescent="0.25">
      <c r="B46" s="16"/>
      <c r="C46" s="12"/>
      <c r="D46" s="48" t="s">
        <v>18</v>
      </c>
      <c r="E46" s="57">
        <f>+E57</f>
        <v>0.44153591999999997</v>
      </c>
      <c r="F46" s="49">
        <f>+E46/E48</f>
        <v>7.7568522816615776E-3</v>
      </c>
      <c r="G46" s="57">
        <f>+G57</f>
        <v>8.2424280000000003E-2</v>
      </c>
      <c r="H46" s="49">
        <f>+G46/G48</f>
        <v>4.8262784700108642E-3</v>
      </c>
      <c r="I46" s="21"/>
      <c r="J46" s="48" t="s">
        <v>18</v>
      </c>
      <c r="K46" s="57">
        <f>+K57</f>
        <v>1.33213632</v>
      </c>
      <c r="L46" s="49">
        <f>+K46/K48</f>
        <v>1.2559376258346119E-2</v>
      </c>
      <c r="M46" s="57">
        <f>+M57</f>
        <v>0.24727304</v>
      </c>
      <c r="N46" s="49">
        <f>+M46/M48</f>
        <v>5.6150037841656E-3</v>
      </c>
      <c r="O46" s="12"/>
      <c r="P46" s="17"/>
    </row>
    <row r="47" spans="2:17" x14ac:dyDescent="0.25">
      <c r="B47" s="16"/>
      <c r="C47" s="12"/>
      <c r="D47" s="48" t="s">
        <v>3</v>
      </c>
      <c r="E47" s="57">
        <v>56.480512350000005</v>
      </c>
      <c r="F47" s="49">
        <f>+E47/E48</f>
        <v>0.99224314771833844</v>
      </c>
      <c r="G47" s="57">
        <v>16.995802869999999</v>
      </c>
      <c r="H47" s="49">
        <f>+G47/G48</f>
        <v>0.99517372152998906</v>
      </c>
      <c r="I47" s="21"/>
      <c r="J47" s="48" t="s">
        <v>3</v>
      </c>
      <c r="K47" s="57">
        <v>104.73493998999999</v>
      </c>
      <c r="L47" s="49">
        <f>+K47/K48</f>
        <v>0.98744062374165387</v>
      </c>
      <c r="M47" s="57">
        <v>43.790638510000001</v>
      </c>
      <c r="N47" s="49">
        <f>+M47/M48</f>
        <v>0.99438499621583432</v>
      </c>
      <c r="O47" s="12"/>
      <c r="P47" s="17"/>
    </row>
    <row r="48" spans="2:17" x14ac:dyDescent="0.25">
      <c r="B48" s="16"/>
      <c r="C48" s="12"/>
      <c r="D48" s="52" t="s">
        <v>1</v>
      </c>
      <c r="E48" s="58">
        <f>SUM(E46:E47)</f>
        <v>56.922048270000005</v>
      </c>
      <c r="F48" s="53">
        <f>SUM(F46:F47)</f>
        <v>1</v>
      </c>
      <c r="G48" s="58">
        <f>SUM(G46:G47)</f>
        <v>17.07822715</v>
      </c>
      <c r="H48" s="53">
        <f>SUM(H46:H47)</f>
        <v>0.99999999999999989</v>
      </c>
      <c r="I48" s="21"/>
      <c r="J48" s="52" t="s">
        <v>1</v>
      </c>
      <c r="K48" s="58">
        <f>SUM(K46:K47)</f>
        <v>106.06707630999999</v>
      </c>
      <c r="L48" s="53">
        <f>SUM(L46:L47)</f>
        <v>1</v>
      </c>
      <c r="M48" s="58">
        <f>SUM(M46:M47)</f>
        <v>44.037911550000004</v>
      </c>
      <c r="N48" s="53">
        <f>SUM(N46:N47)</f>
        <v>0.99999999999999989</v>
      </c>
      <c r="O48" s="12"/>
      <c r="P48" s="17"/>
    </row>
    <row r="49" spans="2:16" x14ac:dyDescent="0.25">
      <c r="B49" s="16"/>
      <c r="C49" s="12"/>
      <c r="D49" s="54"/>
      <c r="E49" s="54"/>
      <c r="F49" s="54"/>
      <c r="G49" s="54"/>
      <c r="H49" s="54"/>
      <c r="I49" s="21"/>
      <c r="J49" s="54"/>
      <c r="K49" s="54"/>
      <c r="L49" s="54"/>
      <c r="M49" s="54"/>
      <c r="N49" s="54"/>
      <c r="O49" s="12"/>
      <c r="P49" s="17"/>
    </row>
    <row r="50" spans="2:16" x14ac:dyDescent="0.25">
      <c r="B50" s="16"/>
      <c r="C50" s="12"/>
      <c r="D50" s="30" t="s">
        <v>19</v>
      </c>
      <c r="E50" s="30">
        <v>2016</v>
      </c>
      <c r="F50" s="30" t="s">
        <v>17</v>
      </c>
      <c r="G50" s="30" t="s">
        <v>11</v>
      </c>
      <c r="H50" s="30" t="s">
        <v>17</v>
      </c>
      <c r="I50" s="21"/>
      <c r="J50" s="30" t="s">
        <v>19</v>
      </c>
      <c r="K50" s="30">
        <v>2016</v>
      </c>
      <c r="L50" s="30" t="s">
        <v>17</v>
      </c>
      <c r="M50" s="30" t="s">
        <v>11</v>
      </c>
      <c r="N50" s="30" t="s">
        <v>17</v>
      </c>
      <c r="O50" s="12"/>
      <c r="P50" s="17"/>
    </row>
    <row r="51" spans="2:16" x14ac:dyDescent="0.25">
      <c r="B51" s="16"/>
      <c r="C51" s="12"/>
      <c r="D51" s="55" t="s">
        <v>20</v>
      </c>
      <c r="E51" s="57"/>
      <c r="F51" s="49">
        <f>+E51/E57</f>
        <v>0</v>
      </c>
      <c r="G51" s="57"/>
      <c r="H51" s="49">
        <f>+G51/G57</f>
        <v>0</v>
      </c>
      <c r="I51" s="21"/>
      <c r="J51" s="55" t="s">
        <v>20</v>
      </c>
      <c r="K51" s="57"/>
      <c r="L51" s="49">
        <f>+K51/K57</f>
        <v>0</v>
      </c>
      <c r="M51" s="57"/>
      <c r="N51" s="49">
        <f>+M51/M57</f>
        <v>0</v>
      </c>
      <c r="O51" s="12"/>
      <c r="P51" s="17"/>
    </row>
    <row r="52" spans="2:16" x14ac:dyDescent="0.25">
      <c r="B52" s="16"/>
      <c r="C52" s="12"/>
      <c r="D52" s="55" t="s">
        <v>21</v>
      </c>
      <c r="E52" s="113">
        <v>0.20756604000000001</v>
      </c>
      <c r="F52" s="49">
        <f>+E52/E57</f>
        <v>0.47010000907740424</v>
      </c>
      <c r="G52" s="57">
        <v>8.2424280000000003E-2</v>
      </c>
      <c r="H52" s="49">
        <f>+G52/G57</f>
        <v>1</v>
      </c>
      <c r="I52" s="21"/>
      <c r="J52" s="55" t="s">
        <v>21</v>
      </c>
      <c r="K52" s="113">
        <v>0.62269842000000009</v>
      </c>
      <c r="L52" s="49">
        <f>+K52/K57</f>
        <v>0.46744346704697615</v>
      </c>
      <c r="M52" s="57">
        <v>0.24727304</v>
      </c>
      <c r="N52" s="49">
        <f>+M52/M57</f>
        <v>1</v>
      </c>
      <c r="O52" s="12"/>
      <c r="P52" s="17"/>
    </row>
    <row r="53" spans="2:16" x14ac:dyDescent="0.25">
      <c r="B53" s="16"/>
      <c r="C53" s="12"/>
      <c r="D53" s="55" t="s">
        <v>22</v>
      </c>
      <c r="E53" s="113">
        <v>0.23396987999999999</v>
      </c>
      <c r="F53" s="49">
        <f>+E53/E57</f>
        <v>0.52989999092259588</v>
      </c>
      <c r="G53" s="57"/>
      <c r="H53" s="49">
        <f>+G53/G57</f>
        <v>0</v>
      </c>
      <c r="I53" s="21"/>
      <c r="J53" s="55" t="s">
        <v>22</v>
      </c>
      <c r="K53" s="113">
        <v>0.70943790000000007</v>
      </c>
      <c r="L53" s="49">
        <f>+K53/K57</f>
        <v>0.53255653295302396</v>
      </c>
      <c r="M53" s="57"/>
      <c r="N53" s="49">
        <f>+M53/M57</f>
        <v>0</v>
      </c>
      <c r="O53" s="12"/>
      <c r="P53" s="17"/>
    </row>
    <row r="54" spans="2:16" x14ac:dyDescent="0.25">
      <c r="B54" s="16"/>
      <c r="C54" s="12"/>
      <c r="D54" s="55" t="s">
        <v>23</v>
      </c>
      <c r="E54" s="57"/>
      <c r="F54" s="49">
        <f>+E54/E57</f>
        <v>0</v>
      </c>
      <c r="G54" s="57"/>
      <c r="H54" s="49">
        <f>+G54/G57</f>
        <v>0</v>
      </c>
      <c r="I54" s="21"/>
      <c r="J54" s="55" t="s">
        <v>23</v>
      </c>
      <c r="K54" s="57"/>
      <c r="L54" s="49">
        <f>+K54/K57</f>
        <v>0</v>
      </c>
      <c r="M54" s="57"/>
      <c r="N54" s="49">
        <f>+M54/M57</f>
        <v>0</v>
      </c>
      <c r="O54" s="12"/>
      <c r="P54" s="17"/>
    </row>
    <row r="55" spans="2:16" x14ac:dyDescent="0.25">
      <c r="B55" s="16"/>
      <c r="C55" s="12"/>
      <c r="D55" s="48" t="s">
        <v>24</v>
      </c>
      <c r="E55" s="57"/>
      <c r="F55" s="49">
        <f>+E55/E57</f>
        <v>0</v>
      </c>
      <c r="G55" s="57"/>
      <c r="H55" s="49">
        <f>+G55/G57</f>
        <v>0</v>
      </c>
      <c r="I55" s="21"/>
      <c r="J55" s="48" t="s">
        <v>24</v>
      </c>
      <c r="K55" s="57"/>
      <c r="L55" s="49">
        <f>+K55/K57</f>
        <v>0</v>
      </c>
      <c r="M55" s="57"/>
      <c r="N55" s="49">
        <f>+M55/M57</f>
        <v>0</v>
      </c>
      <c r="O55" s="12"/>
      <c r="P55" s="17"/>
    </row>
    <row r="56" spans="2:16" x14ac:dyDescent="0.25">
      <c r="B56" s="16"/>
      <c r="C56" s="12"/>
      <c r="D56" s="55" t="s">
        <v>25</v>
      </c>
      <c r="E56" s="57"/>
      <c r="F56" s="49">
        <f>+E56/E57</f>
        <v>0</v>
      </c>
      <c r="G56" s="57"/>
      <c r="H56" s="49">
        <f>+G56/G57</f>
        <v>0</v>
      </c>
      <c r="I56" s="21"/>
      <c r="J56" s="55" t="s">
        <v>25</v>
      </c>
      <c r="K56" s="57"/>
      <c r="L56" s="49">
        <f>+K56/K57</f>
        <v>0</v>
      </c>
      <c r="M56" s="57"/>
      <c r="N56" s="49">
        <f>+M56/M57</f>
        <v>0</v>
      </c>
      <c r="O56" s="12"/>
      <c r="P56" s="17"/>
    </row>
    <row r="57" spans="2:16" x14ac:dyDescent="0.25">
      <c r="B57" s="16"/>
      <c r="C57" s="12"/>
      <c r="D57" s="52" t="s">
        <v>1</v>
      </c>
      <c r="E57" s="58">
        <f>SUM(E51:E56)</f>
        <v>0.44153591999999997</v>
      </c>
      <c r="F57" s="53">
        <f>SUM(F51:F56)</f>
        <v>1</v>
      </c>
      <c r="G57" s="58">
        <f>SUM(G51:G56)</f>
        <v>8.2424280000000003E-2</v>
      </c>
      <c r="H57" s="53">
        <f>SUM(H51:H56)</f>
        <v>1</v>
      </c>
      <c r="I57" s="21"/>
      <c r="J57" s="52" t="s">
        <v>1</v>
      </c>
      <c r="K57" s="58">
        <f>SUM(K51:K56)</f>
        <v>1.33213632</v>
      </c>
      <c r="L57" s="53">
        <f>SUM(L51:L56)</f>
        <v>1</v>
      </c>
      <c r="M57" s="58">
        <f>SUM(M51:M56)</f>
        <v>0.24727304</v>
      </c>
      <c r="N57" s="53">
        <f>SUM(N51:N56)</f>
        <v>1</v>
      </c>
      <c r="O57" s="12"/>
      <c r="P57" s="17"/>
    </row>
    <row r="58" spans="2:16" x14ac:dyDescent="0.25">
      <c r="B58" s="16"/>
      <c r="C58" s="12"/>
      <c r="D58" s="119" t="s">
        <v>27</v>
      </c>
      <c r="E58" s="119"/>
      <c r="F58" s="119"/>
      <c r="G58" s="119"/>
      <c r="H58" s="119"/>
      <c r="I58" s="12"/>
      <c r="J58" s="119" t="s">
        <v>27</v>
      </c>
      <c r="K58" s="119"/>
      <c r="L58" s="119"/>
      <c r="M58" s="119"/>
      <c r="N58" s="119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H35:I47">
    <sortCondition descending="1" ref="H35:H47"/>
  </sortState>
  <mergeCells count="16">
    <mergeCell ref="B1:P2"/>
    <mergeCell ref="C11:C12"/>
    <mergeCell ref="D11:F11"/>
    <mergeCell ref="G11:I11"/>
    <mergeCell ref="J11:J12"/>
    <mergeCell ref="K11:K12"/>
    <mergeCell ref="L11:L12"/>
    <mergeCell ref="M11:O11"/>
    <mergeCell ref="C8:O9"/>
    <mergeCell ref="C23:O23"/>
    <mergeCell ref="G42:K42"/>
    <mergeCell ref="C28:O29"/>
    <mergeCell ref="D58:H58"/>
    <mergeCell ref="J58:N58"/>
    <mergeCell ref="D44:H44"/>
    <mergeCell ref="J44:N4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85" zoomScaleNormal="85" workbookViewId="0">
      <selection activeCell="A16" sqref="A1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41" t="s">
        <v>80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17" ht="15" customHeight="1" x14ac:dyDescent="0.2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2:17" x14ac:dyDescent="0.25">
      <c r="B3" s="5" t="str">
        <f>+B7</f>
        <v>1. Presupuesto y Ejecución del Canon y otros, mayo 2017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+B27</f>
        <v>2. Transferencias de Canon y otros.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7" spans="2:17" ht="15" customHeight="1" x14ac:dyDescent="0.25">
      <c r="B7" s="13" t="s">
        <v>54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7" ht="15" customHeight="1" x14ac:dyDescent="0.25">
      <c r="B8" s="16"/>
      <c r="C8" s="125" t="s">
        <v>28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7"/>
    </row>
    <row r="9" spans="2:17" x14ac:dyDescent="0.25">
      <c r="B9" s="16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39"/>
      <c r="Q9" s="40"/>
    </row>
    <row r="10" spans="2:17" x14ac:dyDescent="0.25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9"/>
      <c r="Q10" s="40"/>
    </row>
    <row r="11" spans="2:17" ht="15" customHeight="1" x14ac:dyDescent="0.25">
      <c r="B11" s="16"/>
      <c r="C11" s="147" t="s">
        <v>2</v>
      </c>
      <c r="D11" s="148" t="s">
        <v>4</v>
      </c>
      <c r="E11" s="149"/>
      <c r="F11" s="150"/>
      <c r="G11" s="151" t="s">
        <v>5</v>
      </c>
      <c r="H11" s="152"/>
      <c r="I11" s="153"/>
      <c r="J11" s="154" t="s">
        <v>6</v>
      </c>
      <c r="K11" s="154" t="s">
        <v>7</v>
      </c>
      <c r="L11" s="142" t="s">
        <v>8</v>
      </c>
      <c r="M11" s="143" t="s">
        <v>12</v>
      </c>
      <c r="N11" s="144"/>
      <c r="O11" s="145"/>
      <c r="P11" s="33" t="s">
        <v>14</v>
      </c>
      <c r="Q11" s="34"/>
    </row>
    <row r="12" spans="2:17" x14ac:dyDescent="0.25">
      <c r="B12" s="16"/>
      <c r="C12" s="147"/>
      <c r="D12" s="24" t="s">
        <v>9</v>
      </c>
      <c r="E12" s="24" t="s">
        <v>10</v>
      </c>
      <c r="F12" s="24" t="s">
        <v>1</v>
      </c>
      <c r="G12" s="24" t="s">
        <v>9</v>
      </c>
      <c r="H12" s="24" t="s">
        <v>10</v>
      </c>
      <c r="I12" s="24" t="s">
        <v>1</v>
      </c>
      <c r="J12" s="155"/>
      <c r="K12" s="155"/>
      <c r="L12" s="142"/>
      <c r="M12" s="45" t="s">
        <v>9</v>
      </c>
      <c r="N12" s="30" t="s">
        <v>10</v>
      </c>
      <c r="O12" s="30" t="s">
        <v>1</v>
      </c>
      <c r="P12" s="33" t="s">
        <v>9</v>
      </c>
      <c r="Q12" s="34" t="s">
        <v>10</v>
      </c>
    </row>
    <row r="13" spans="2:17" x14ac:dyDescent="0.25">
      <c r="B13" s="16"/>
      <c r="C13" s="25">
        <v>2009</v>
      </c>
      <c r="D13" s="41">
        <v>220838229</v>
      </c>
      <c r="E13" s="41">
        <v>120950882</v>
      </c>
      <c r="F13" s="42">
        <f>+E13+D13</f>
        <v>341789111</v>
      </c>
      <c r="G13" s="41">
        <v>119792601</v>
      </c>
      <c r="H13" s="41">
        <v>83661371</v>
      </c>
      <c r="I13" s="42">
        <f>+H13+G13</f>
        <v>203453972</v>
      </c>
      <c r="J13" s="26">
        <f>+G13/D13</f>
        <v>0.54244503563737601</v>
      </c>
      <c r="K13" s="26">
        <f t="shared" ref="K13:L21" si="0">+H13/E13</f>
        <v>0.69169707253560997</v>
      </c>
      <c r="L13" s="44">
        <f t="shared" si="0"/>
        <v>0.59526171388180937</v>
      </c>
      <c r="M13" s="46">
        <f>+G13/P13</f>
        <v>0.30273899757619216</v>
      </c>
      <c r="N13" s="31">
        <f>+H13/Q13</f>
        <v>0.32504964910210449</v>
      </c>
      <c r="O13" s="32">
        <f>+I13/SUM(P13:Q13)</f>
        <v>0.31153172553037234</v>
      </c>
      <c r="P13" s="37">
        <v>395695969</v>
      </c>
      <c r="Q13" s="38">
        <v>257380284</v>
      </c>
    </row>
    <row r="14" spans="2:17" x14ac:dyDescent="0.25">
      <c r="B14" s="16"/>
      <c r="C14" s="25">
        <v>2010</v>
      </c>
      <c r="D14" s="41">
        <v>181381244</v>
      </c>
      <c r="E14" s="41">
        <v>154904427</v>
      </c>
      <c r="F14" s="42">
        <f t="shared" ref="F14:F21" si="1">+E14+D14</f>
        <v>336285671</v>
      </c>
      <c r="G14" s="41">
        <v>133254392</v>
      </c>
      <c r="H14" s="41">
        <v>117388482</v>
      </c>
      <c r="I14" s="42">
        <f t="shared" ref="I14:I21" si="2">+H14+G14</f>
        <v>250642874</v>
      </c>
      <c r="J14" s="26">
        <f t="shared" ref="J14:J20" si="3">+G14/D14</f>
        <v>0.73466467128210899</v>
      </c>
      <c r="K14" s="26">
        <f t="shared" si="0"/>
        <v>0.75781231223301315</v>
      </c>
      <c r="L14" s="44">
        <f t="shared" si="0"/>
        <v>0.7453272488675261</v>
      </c>
      <c r="M14" s="46">
        <f t="shared" ref="M14:N21" si="4">+G14/P14</f>
        <v>0.33516218961080452</v>
      </c>
      <c r="N14" s="31">
        <f t="shared" si="4"/>
        <v>0.35587278526010735</v>
      </c>
      <c r="O14" s="32">
        <f t="shared" ref="O14:O21" si="5">+I14/SUM(P14:Q14)</f>
        <v>0.34455346462056402</v>
      </c>
      <c r="P14" s="37">
        <v>397581816</v>
      </c>
      <c r="Q14" s="38">
        <v>329860801</v>
      </c>
    </row>
    <row r="15" spans="2:17" x14ac:dyDescent="0.25">
      <c r="B15" s="16"/>
      <c r="C15" s="25">
        <v>2011</v>
      </c>
      <c r="D15" s="41">
        <v>128908095</v>
      </c>
      <c r="E15" s="41">
        <v>190371839</v>
      </c>
      <c r="F15" s="42">
        <f t="shared" si="1"/>
        <v>319279934</v>
      </c>
      <c r="G15" s="41">
        <v>111034277</v>
      </c>
      <c r="H15" s="41">
        <v>125163891</v>
      </c>
      <c r="I15" s="42">
        <f t="shared" si="2"/>
        <v>236198168</v>
      </c>
      <c r="J15" s="26">
        <f t="shared" si="3"/>
        <v>0.86134448732641655</v>
      </c>
      <c r="K15" s="26">
        <f t="shared" si="0"/>
        <v>0.65747061990613009</v>
      </c>
      <c r="L15" s="44">
        <f t="shared" si="0"/>
        <v>0.73978394144869752</v>
      </c>
      <c r="M15" s="46">
        <f t="shared" si="4"/>
        <v>0.26583206148217647</v>
      </c>
      <c r="N15" s="31">
        <f t="shared" si="4"/>
        <v>0.38674429887612094</v>
      </c>
      <c r="O15" s="32">
        <f t="shared" si="5"/>
        <v>0.31861813514569554</v>
      </c>
      <c r="P15" s="37">
        <v>417685799</v>
      </c>
      <c r="Q15" s="38">
        <v>323634741</v>
      </c>
    </row>
    <row r="16" spans="2:17" x14ac:dyDescent="0.25">
      <c r="B16" s="16"/>
      <c r="C16" s="25">
        <v>2012</v>
      </c>
      <c r="D16" s="41">
        <v>95829962</v>
      </c>
      <c r="E16" s="41">
        <v>232964148</v>
      </c>
      <c r="F16" s="42">
        <f t="shared" si="1"/>
        <v>328794110</v>
      </c>
      <c r="G16" s="41">
        <v>65902082</v>
      </c>
      <c r="H16" s="41">
        <v>182124609</v>
      </c>
      <c r="I16" s="42">
        <f t="shared" si="2"/>
        <v>248026691</v>
      </c>
      <c r="J16" s="26">
        <f t="shared" si="3"/>
        <v>0.68769809175130425</v>
      </c>
      <c r="K16" s="26">
        <f t="shared" si="0"/>
        <v>0.78177097447629584</v>
      </c>
      <c r="L16" s="44">
        <f t="shared" si="0"/>
        <v>0.75435259773966146</v>
      </c>
      <c r="M16" s="46">
        <f t="shared" si="4"/>
        <v>0.14137113401661572</v>
      </c>
      <c r="N16" s="31">
        <f t="shared" si="4"/>
        <v>0.45232908727061305</v>
      </c>
      <c r="O16" s="32">
        <f t="shared" si="5"/>
        <v>0.28548157700179549</v>
      </c>
      <c r="P16" s="37">
        <v>466163637</v>
      </c>
      <c r="Q16" s="38">
        <v>402637403</v>
      </c>
    </row>
    <row r="17" spans="2:17" x14ac:dyDescent="0.25">
      <c r="B17" s="16"/>
      <c r="C17" s="25">
        <v>2013</v>
      </c>
      <c r="D17" s="41">
        <v>107205838</v>
      </c>
      <c r="E17" s="41">
        <v>247998878</v>
      </c>
      <c r="F17" s="42">
        <f t="shared" si="1"/>
        <v>355204716</v>
      </c>
      <c r="G17" s="41">
        <v>79112819</v>
      </c>
      <c r="H17" s="41">
        <v>174363836</v>
      </c>
      <c r="I17" s="42">
        <f t="shared" si="2"/>
        <v>253476655</v>
      </c>
      <c r="J17" s="26">
        <f t="shared" si="3"/>
        <v>0.73795252642864473</v>
      </c>
      <c r="K17" s="26">
        <f t="shared" si="0"/>
        <v>0.70308316475528576</v>
      </c>
      <c r="L17" s="44">
        <f t="shared" si="0"/>
        <v>0.71360723431385975</v>
      </c>
      <c r="M17" s="46">
        <f t="shared" si="4"/>
        <v>0.1400797205281982</v>
      </c>
      <c r="N17" s="31">
        <f t="shared" si="4"/>
        <v>0.39977949055640094</v>
      </c>
      <c r="O17" s="32">
        <f t="shared" si="5"/>
        <v>0.25324367234090839</v>
      </c>
      <c r="P17" s="37">
        <v>564769966</v>
      </c>
      <c r="Q17" s="38">
        <v>436150028</v>
      </c>
    </row>
    <row r="18" spans="2:17" x14ac:dyDescent="0.25">
      <c r="B18" s="16"/>
      <c r="C18" s="25">
        <v>2014</v>
      </c>
      <c r="D18" s="41">
        <v>119998084</v>
      </c>
      <c r="E18" s="41">
        <v>221138729</v>
      </c>
      <c r="F18" s="42">
        <f t="shared" si="1"/>
        <v>341136813</v>
      </c>
      <c r="G18" s="41">
        <v>95488075</v>
      </c>
      <c r="H18" s="41">
        <v>183002384</v>
      </c>
      <c r="I18" s="42">
        <f t="shared" si="2"/>
        <v>278490459</v>
      </c>
      <c r="J18" s="26">
        <f t="shared" si="3"/>
        <v>0.79574666375506464</v>
      </c>
      <c r="K18" s="26">
        <f t="shared" si="0"/>
        <v>0.82754560825932932</v>
      </c>
      <c r="L18" s="44">
        <f t="shared" si="0"/>
        <v>0.81636003030842641</v>
      </c>
      <c r="M18" s="46">
        <f t="shared" si="4"/>
        <v>0.160124333375119</v>
      </c>
      <c r="N18" s="31">
        <f t="shared" si="4"/>
        <v>0.41635792933938753</v>
      </c>
      <c r="O18" s="32">
        <f t="shared" si="5"/>
        <v>0.26884731811113943</v>
      </c>
      <c r="P18" s="37">
        <v>596337065</v>
      </c>
      <c r="Q18" s="38">
        <v>439531401</v>
      </c>
    </row>
    <row r="19" spans="2:17" x14ac:dyDescent="0.25">
      <c r="B19" s="16"/>
      <c r="C19" s="25">
        <v>2015</v>
      </c>
      <c r="D19" s="41">
        <v>44466006</v>
      </c>
      <c r="E19" s="41">
        <v>143300897</v>
      </c>
      <c r="F19" s="42">
        <f t="shared" si="1"/>
        <v>187766903</v>
      </c>
      <c r="G19" s="41">
        <v>40834129</v>
      </c>
      <c r="H19" s="41">
        <v>113552427</v>
      </c>
      <c r="I19" s="42">
        <f t="shared" si="2"/>
        <v>154386556</v>
      </c>
      <c r="J19" s="26">
        <f t="shared" si="3"/>
        <v>0.91832239216627642</v>
      </c>
      <c r="K19" s="26">
        <f t="shared" si="0"/>
        <v>0.79240555626110287</v>
      </c>
      <c r="L19" s="44">
        <f t="shared" si="0"/>
        <v>0.82222454294833847</v>
      </c>
      <c r="M19" s="46">
        <f t="shared" si="4"/>
        <v>6.7330074052937783E-2</v>
      </c>
      <c r="N19" s="31">
        <f t="shared" si="4"/>
        <v>0.3311593954099501</v>
      </c>
      <c r="O19" s="32">
        <f t="shared" si="5"/>
        <v>0.16261994083308176</v>
      </c>
      <c r="P19" s="37">
        <v>606476817</v>
      </c>
      <c r="Q19" s="38">
        <v>342893569</v>
      </c>
    </row>
    <row r="20" spans="2:17" ht="15" customHeight="1" x14ac:dyDescent="0.25">
      <c r="B20" s="16"/>
      <c r="C20" s="25">
        <v>2016</v>
      </c>
      <c r="D20" s="41">
        <v>34741271</v>
      </c>
      <c r="E20" s="41">
        <v>117761347</v>
      </c>
      <c r="F20" s="42">
        <f t="shared" si="1"/>
        <v>152502618</v>
      </c>
      <c r="G20" s="41">
        <v>20537879</v>
      </c>
      <c r="H20" s="41">
        <v>83670066</v>
      </c>
      <c r="I20" s="42">
        <f t="shared" si="2"/>
        <v>104207945</v>
      </c>
      <c r="J20" s="26">
        <f t="shared" si="3"/>
        <v>0.5911665983665364</v>
      </c>
      <c r="K20" s="26">
        <f t="shared" si="0"/>
        <v>0.71050534094179474</v>
      </c>
      <c r="L20" s="44">
        <f t="shared" si="0"/>
        <v>0.68331905620138267</v>
      </c>
      <c r="M20" s="46">
        <f t="shared" si="4"/>
        <v>2.823970773498553E-2</v>
      </c>
      <c r="N20" s="31">
        <f t="shared" si="4"/>
        <v>0.21949343965660267</v>
      </c>
      <c r="O20" s="32">
        <f t="shared" si="5"/>
        <v>9.4010975449773382E-2</v>
      </c>
      <c r="P20" s="37">
        <v>727269531</v>
      </c>
      <c r="Q20" s="38">
        <v>381196204</v>
      </c>
    </row>
    <row r="21" spans="2:17" x14ac:dyDescent="0.25">
      <c r="B21" s="16"/>
      <c r="C21" s="25" t="s">
        <v>11</v>
      </c>
      <c r="D21" s="41">
        <v>27579825</v>
      </c>
      <c r="E21" s="41">
        <v>82592350</v>
      </c>
      <c r="F21" s="42">
        <f t="shared" si="1"/>
        <v>110172175</v>
      </c>
      <c r="G21" s="41">
        <v>4916020</v>
      </c>
      <c r="H21" s="41">
        <v>19331869</v>
      </c>
      <c r="I21" s="42">
        <f t="shared" si="2"/>
        <v>24247889</v>
      </c>
      <c r="J21" s="26">
        <f>+G21/D21</f>
        <v>0.17824696132045798</v>
      </c>
      <c r="K21" s="26">
        <f t="shared" si="0"/>
        <v>0.23406367538882233</v>
      </c>
      <c r="L21" s="44">
        <f t="shared" si="0"/>
        <v>0.22009086232526498</v>
      </c>
      <c r="M21" s="46">
        <f t="shared" si="4"/>
        <v>2.2218076712759074E-2</v>
      </c>
      <c r="N21" s="31">
        <f t="shared" si="4"/>
        <v>0.18601525489381623</v>
      </c>
      <c r="O21" s="32">
        <f t="shared" si="5"/>
        <v>7.456565675128321E-2</v>
      </c>
      <c r="P21" s="37">
        <v>221262176</v>
      </c>
      <c r="Q21" s="38">
        <v>103926256</v>
      </c>
    </row>
    <row r="22" spans="2:17" x14ac:dyDescent="0.25">
      <c r="B22" s="16"/>
      <c r="C22" s="27" t="s">
        <v>53</v>
      </c>
      <c r="D22" s="28"/>
      <c r="E22" s="28"/>
      <c r="F22" s="28"/>
      <c r="G22" s="28"/>
      <c r="H22" s="27"/>
      <c r="I22" s="29"/>
      <c r="J22" s="29"/>
      <c r="K22" s="29"/>
      <c r="L22" s="29"/>
      <c r="M22" s="12"/>
      <c r="N22" s="12"/>
      <c r="O22" s="12"/>
      <c r="P22" s="104">
        <f>SUM(P13:P21)</f>
        <v>4393242776</v>
      </c>
      <c r="Q22" s="104">
        <f>SUM(Q13:Q21)</f>
        <v>3017210687</v>
      </c>
    </row>
    <row r="23" spans="2:17" x14ac:dyDescent="0.25">
      <c r="B23" s="16"/>
      <c r="C23" s="146" t="s">
        <v>13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06"/>
      <c r="Q23" s="105"/>
    </row>
    <row r="24" spans="2:17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07"/>
      <c r="Q24" s="105"/>
    </row>
    <row r="26" spans="2:17" ht="15" customHeight="1" x14ac:dyDescent="0.25"/>
    <row r="27" spans="2:17" x14ac:dyDescent="0.25">
      <c r="B27" s="13" t="s">
        <v>26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35"/>
    </row>
    <row r="28" spans="2:17" ht="15" customHeight="1" x14ac:dyDescent="0.25">
      <c r="B28" s="16"/>
      <c r="C28" s="125" t="s">
        <v>29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7"/>
      <c r="Q28" s="35"/>
    </row>
    <row r="29" spans="2:17" x14ac:dyDescent="0.25">
      <c r="B29" s="16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7"/>
      <c r="Q29" s="35"/>
    </row>
    <row r="30" spans="2:17" x14ac:dyDescent="0.25"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7"/>
      <c r="Q30" s="35"/>
    </row>
    <row r="31" spans="2:17" x14ac:dyDescent="0.25">
      <c r="B31" s="16"/>
      <c r="C31" s="12"/>
      <c r="D31" s="12"/>
      <c r="E31" s="12"/>
      <c r="F31" s="12"/>
      <c r="G31" s="30" t="s">
        <v>2</v>
      </c>
      <c r="H31" s="30" t="s">
        <v>9</v>
      </c>
      <c r="I31" s="30" t="s">
        <v>10</v>
      </c>
      <c r="J31" s="30" t="s">
        <v>1</v>
      </c>
      <c r="K31" s="30" t="s">
        <v>15</v>
      </c>
      <c r="L31" s="12"/>
      <c r="M31" s="12"/>
      <c r="N31" s="12"/>
      <c r="O31" s="12"/>
      <c r="P31" s="56"/>
      <c r="Q31" s="35"/>
    </row>
    <row r="32" spans="2:17" x14ac:dyDescent="0.25">
      <c r="B32" s="16"/>
      <c r="C32" s="12"/>
      <c r="D32" s="12"/>
      <c r="E32" s="12"/>
      <c r="F32" s="12"/>
      <c r="G32" s="47">
        <v>2009</v>
      </c>
      <c r="H32" s="51">
        <v>65084271.130000003</v>
      </c>
      <c r="I32" s="51">
        <v>66175667.799999997</v>
      </c>
      <c r="J32" s="51">
        <f>+I32+H32</f>
        <v>131259938.93000001</v>
      </c>
      <c r="K32" s="48"/>
      <c r="L32" s="12"/>
      <c r="M32" s="12"/>
      <c r="N32" s="12"/>
      <c r="O32" s="12"/>
      <c r="P32" s="56"/>
      <c r="Q32" s="35"/>
    </row>
    <row r="33" spans="2:17" x14ac:dyDescent="0.25">
      <c r="B33" s="16"/>
      <c r="C33" s="12"/>
      <c r="D33" s="12"/>
      <c r="E33" s="12"/>
      <c r="F33" s="12"/>
      <c r="G33" s="47">
        <v>2010</v>
      </c>
      <c r="H33" s="51">
        <v>63113577.390000001</v>
      </c>
      <c r="I33" s="51">
        <v>129911118.18000001</v>
      </c>
      <c r="J33" s="51">
        <f t="shared" ref="J33:J40" si="6">+I33+H33</f>
        <v>193024695.56999999</v>
      </c>
      <c r="K33" s="49">
        <f>+J33/J32-1</f>
        <v>0.47055298930878431</v>
      </c>
      <c r="L33" s="12"/>
      <c r="M33" s="12"/>
      <c r="N33" s="12"/>
      <c r="O33" s="12"/>
      <c r="P33" s="56"/>
      <c r="Q33" s="35"/>
    </row>
    <row r="34" spans="2:17" x14ac:dyDescent="0.25">
      <c r="B34" s="16"/>
      <c r="C34" s="12"/>
      <c r="D34" s="12"/>
      <c r="E34" s="12"/>
      <c r="F34" s="12"/>
      <c r="G34" s="47">
        <v>2011</v>
      </c>
      <c r="H34" s="51">
        <v>69420357.5</v>
      </c>
      <c r="I34" s="51">
        <v>148722741.62</v>
      </c>
      <c r="J34" s="51">
        <f t="shared" si="6"/>
        <v>218143099.12</v>
      </c>
      <c r="K34" s="49">
        <f t="shared" ref="K34:K40" si="7">+J34/J33-1</f>
        <v>0.13013051763053229</v>
      </c>
      <c r="L34" s="12"/>
      <c r="M34" s="12"/>
      <c r="N34" s="12"/>
      <c r="O34" s="12"/>
      <c r="P34" s="56"/>
      <c r="Q34" s="35"/>
    </row>
    <row r="35" spans="2:17" ht="15" customHeight="1" x14ac:dyDescent="0.25">
      <c r="B35" s="16"/>
      <c r="C35" s="12"/>
      <c r="D35" s="12"/>
      <c r="E35" s="12"/>
      <c r="F35" s="12"/>
      <c r="G35" s="47">
        <v>2012</v>
      </c>
      <c r="H35" s="51">
        <v>77371808.780000001</v>
      </c>
      <c r="I35" s="51">
        <v>163024109.66</v>
      </c>
      <c r="J35" s="51">
        <f t="shared" si="6"/>
        <v>240395918.44</v>
      </c>
      <c r="K35" s="49">
        <f t="shared" si="7"/>
        <v>0.10201019152001112</v>
      </c>
      <c r="L35" s="12"/>
      <c r="M35" s="12"/>
      <c r="N35" s="12"/>
      <c r="O35" s="12"/>
      <c r="P35" s="56"/>
      <c r="Q35" s="35"/>
    </row>
    <row r="36" spans="2:17" x14ac:dyDescent="0.25">
      <c r="B36" s="16"/>
      <c r="C36" s="12"/>
      <c r="D36" s="12"/>
      <c r="E36" s="12"/>
      <c r="F36" s="12"/>
      <c r="G36" s="47">
        <v>2013</v>
      </c>
      <c r="H36" s="51">
        <v>69615393.590000004</v>
      </c>
      <c r="I36" s="51">
        <v>170886315.19999999</v>
      </c>
      <c r="J36" s="51">
        <f t="shared" si="6"/>
        <v>240501708.78999999</v>
      </c>
      <c r="K36" s="49">
        <f t="shared" si="7"/>
        <v>4.4006716372924082E-4</v>
      </c>
      <c r="L36" s="12"/>
      <c r="M36" s="12"/>
      <c r="N36" s="12"/>
      <c r="O36" s="12"/>
      <c r="P36" s="56"/>
    </row>
    <row r="37" spans="2:17" x14ac:dyDescent="0.25">
      <c r="B37" s="16"/>
      <c r="C37" s="12"/>
      <c r="D37" s="12"/>
      <c r="E37" s="12"/>
      <c r="F37" s="12"/>
      <c r="G37" s="47">
        <v>2014</v>
      </c>
      <c r="H37" s="51">
        <v>75819226.260000005</v>
      </c>
      <c r="I37" s="51">
        <v>167254402.94</v>
      </c>
      <c r="J37" s="51">
        <f t="shared" si="6"/>
        <v>243073629.19999999</v>
      </c>
      <c r="K37" s="49">
        <f t="shared" si="7"/>
        <v>1.0693979776442042E-2</v>
      </c>
      <c r="L37" s="12"/>
      <c r="M37" s="12"/>
      <c r="N37" s="12"/>
      <c r="O37" s="12"/>
      <c r="P37" s="17"/>
    </row>
    <row r="38" spans="2:17" ht="15" customHeight="1" x14ac:dyDescent="0.25">
      <c r="B38" s="16"/>
      <c r="C38" s="12"/>
      <c r="D38" s="12"/>
      <c r="E38" s="12"/>
      <c r="F38" s="12"/>
      <c r="G38" s="47">
        <v>2015</v>
      </c>
      <c r="H38" s="51">
        <v>37725002.560000002</v>
      </c>
      <c r="I38" s="51">
        <v>102792461.34999999</v>
      </c>
      <c r="J38" s="51">
        <f t="shared" si="6"/>
        <v>140517463.91</v>
      </c>
      <c r="K38" s="49">
        <f t="shared" si="7"/>
        <v>-0.42191399218225023</v>
      </c>
      <c r="L38" s="12"/>
      <c r="M38" s="12"/>
      <c r="N38" s="12"/>
      <c r="O38" s="12"/>
      <c r="P38" s="17"/>
    </row>
    <row r="39" spans="2:17" x14ac:dyDescent="0.25">
      <c r="B39" s="16"/>
      <c r="C39" s="12"/>
      <c r="D39" s="12"/>
      <c r="E39" s="12"/>
      <c r="F39" s="12"/>
      <c r="G39" s="47">
        <v>2016</v>
      </c>
      <c r="H39" s="51">
        <v>20328826.690000001</v>
      </c>
      <c r="I39" s="51">
        <v>81683101.599999994</v>
      </c>
      <c r="J39" s="51">
        <f t="shared" si="6"/>
        <v>102011928.28999999</v>
      </c>
      <c r="K39" s="49">
        <f t="shared" si="7"/>
        <v>-0.27402669069420726</v>
      </c>
      <c r="L39" s="12"/>
      <c r="M39" s="12"/>
      <c r="N39" s="12"/>
      <c r="O39" s="12"/>
      <c r="P39" s="17"/>
    </row>
    <row r="40" spans="2:17" x14ac:dyDescent="0.25">
      <c r="B40" s="16"/>
      <c r="C40" s="12"/>
      <c r="D40" s="12"/>
      <c r="E40" s="12"/>
      <c r="F40" s="12"/>
      <c r="G40" s="47" t="s">
        <v>11</v>
      </c>
      <c r="H40" s="51">
        <v>5192726.2</v>
      </c>
      <c r="I40" s="51">
        <v>19661080.059999999</v>
      </c>
      <c r="J40" s="51">
        <f t="shared" si="6"/>
        <v>24853806.259999998</v>
      </c>
      <c r="K40" s="49">
        <f t="shared" si="7"/>
        <v>-0.75636372455047141</v>
      </c>
      <c r="L40" s="12"/>
      <c r="M40" s="12"/>
      <c r="N40" s="12"/>
      <c r="O40" s="12"/>
      <c r="P40" s="17"/>
    </row>
    <row r="41" spans="2:17" x14ac:dyDescent="0.25">
      <c r="B41" s="16"/>
      <c r="C41" s="12"/>
      <c r="D41" s="12"/>
      <c r="E41" s="12"/>
      <c r="F41" s="12"/>
      <c r="G41" s="27" t="s">
        <v>53</v>
      </c>
      <c r="H41" s="50"/>
      <c r="I41" s="50"/>
      <c r="J41" s="50"/>
      <c r="K41" s="50"/>
      <c r="L41" s="12"/>
      <c r="M41" s="12"/>
      <c r="N41" s="12"/>
      <c r="O41" s="12"/>
      <c r="P41" s="17"/>
    </row>
    <row r="42" spans="2:17" x14ac:dyDescent="0.25">
      <c r="B42" s="16"/>
      <c r="C42" s="12"/>
      <c r="D42" s="12"/>
      <c r="E42" s="12"/>
      <c r="F42" s="12"/>
      <c r="G42" s="119" t="s">
        <v>27</v>
      </c>
      <c r="H42" s="119"/>
      <c r="I42" s="119"/>
      <c r="J42" s="119"/>
      <c r="K42" s="119"/>
      <c r="L42" s="12"/>
      <c r="M42" s="12"/>
      <c r="N42" s="12"/>
      <c r="O42" s="12"/>
      <c r="P42" s="17"/>
    </row>
    <row r="43" spans="2:17" x14ac:dyDescent="0.25"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7"/>
    </row>
    <row r="44" spans="2:17" x14ac:dyDescent="0.25">
      <c r="B44" s="16"/>
      <c r="C44" s="12"/>
      <c r="D44" s="118" t="s">
        <v>45</v>
      </c>
      <c r="E44" s="118"/>
      <c r="F44" s="118"/>
      <c r="G44" s="118"/>
      <c r="H44" s="118"/>
      <c r="I44" s="21"/>
      <c r="J44" s="118" t="s">
        <v>46</v>
      </c>
      <c r="K44" s="118"/>
      <c r="L44" s="118"/>
      <c r="M44" s="118"/>
      <c r="N44" s="118"/>
      <c r="O44" s="12"/>
      <c r="P44" s="17"/>
    </row>
    <row r="45" spans="2:17" x14ac:dyDescent="0.25">
      <c r="B45" s="16"/>
      <c r="C45" s="12"/>
      <c r="D45" s="30" t="s">
        <v>16</v>
      </c>
      <c r="E45" s="30">
        <v>2016</v>
      </c>
      <c r="F45" s="30" t="s">
        <v>17</v>
      </c>
      <c r="G45" s="30" t="s">
        <v>11</v>
      </c>
      <c r="H45" s="30" t="s">
        <v>17</v>
      </c>
      <c r="I45" s="21"/>
      <c r="J45" s="30" t="s">
        <v>16</v>
      </c>
      <c r="K45" s="30">
        <v>2016</v>
      </c>
      <c r="L45" s="30" t="s">
        <v>17</v>
      </c>
      <c r="M45" s="30" t="s">
        <v>11</v>
      </c>
      <c r="N45" s="30" t="s">
        <v>17</v>
      </c>
      <c r="O45" s="12"/>
      <c r="P45" s="17"/>
    </row>
    <row r="46" spans="2:17" x14ac:dyDescent="0.25">
      <c r="B46" s="16"/>
      <c r="C46" s="12"/>
      <c r="D46" s="48" t="s">
        <v>18</v>
      </c>
      <c r="E46" s="57">
        <f>+E57</f>
        <v>10.497647789999998</v>
      </c>
      <c r="F46" s="49">
        <f>+E46/E48</f>
        <v>0.51639221240269217</v>
      </c>
      <c r="G46" s="57">
        <f>+G57</f>
        <v>2.8795671499999997</v>
      </c>
      <c r="H46" s="49">
        <f>+G46/G48</f>
        <v>0.55453860632975416</v>
      </c>
      <c r="I46" s="21"/>
      <c r="J46" s="48" t="s">
        <v>18</v>
      </c>
      <c r="K46" s="57">
        <f>+K57</f>
        <v>22.574382830000001</v>
      </c>
      <c r="L46" s="49">
        <f>+K46/K48</f>
        <v>0.27636539734431437</v>
      </c>
      <c r="M46" s="57">
        <f>+M57</f>
        <v>4.8831701499999998</v>
      </c>
      <c r="N46" s="49">
        <f>+M46/M48</f>
        <v>0.24836733969334132</v>
      </c>
      <c r="O46" s="12"/>
      <c r="P46" s="17"/>
    </row>
    <row r="47" spans="2:17" x14ac:dyDescent="0.25">
      <c r="B47" s="16"/>
      <c r="C47" s="12"/>
      <c r="D47" s="48" t="s">
        <v>3</v>
      </c>
      <c r="E47" s="57">
        <v>9.8311789000000012</v>
      </c>
      <c r="F47" s="49">
        <f>+E47/E48</f>
        <v>0.48360778759730777</v>
      </c>
      <c r="G47" s="57">
        <v>2.3131590499999999</v>
      </c>
      <c r="H47" s="49">
        <f>+G47/G48</f>
        <v>0.44546139367024595</v>
      </c>
      <c r="I47" s="21"/>
      <c r="J47" s="48" t="s">
        <v>3</v>
      </c>
      <c r="K47" s="57">
        <v>59.108718769999996</v>
      </c>
      <c r="L47" s="49">
        <f>+K47/K48</f>
        <v>0.72363460265568558</v>
      </c>
      <c r="M47" s="57">
        <v>14.77790991</v>
      </c>
      <c r="N47" s="49">
        <f>+M47/M48</f>
        <v>0.75163266030665865</v>
      </c>
      <c r="O47" s="12"/>
      <c r="P47" s="17"/>
    </row>
    <row r="48" spans="2:17" x14ac:dyDescent="0.25">
      <c r="B48" s="16"/>
      <c r="C48" s="12"/>
      <c r="D48" s="52" t="s">
        <v>1</v>
      </c>
      <c r="E48" s="58">
        <f>SUM(E46:E47)</f>
        <v>20.32882669</v>
      </c>
      <c r="F48" s="53">
        <f>SUM(F46:F47)</f>
        <v>1</v>
      </c>
      <c r="G48" s="58">
        <f>SUM(G46:G47)</f>
        <v>5.1927261999999992</v>
      </c>
      <c r="H48" s="53">
        <f>SUM(H46:H47)</f>
        <v>1</v>
      </c>
      <c r="I48" s="21"/>
      <c r="J48" s="52" t="s">
        <v>1</v>
      </c>
      <c r="K48" s="58">
        <f>SUM(K46:K47)</f>
        <v>81.683101600000001</v>
      </c>
      <c r="L48" s="53">
        <f>SUM(L46:L47)</f>
        <v>1</v>
      </c>
      <c r="M48" s="58">
        <f>SUM(M46:M47)</f>
        <v>19.66108006</v>
      </c>
      <c r="N48" s="53">
        <f>SUM(N46:N47)</f>
        <v>1</v>
      </c>
      <c r="O48" s="12"/>
      <c r="P48" s="17"/>
    </row>
    <row r="49" spans="2:16" x14ac:dyDescent="0.25">
      <c r="B49" s="16"/>
      <c r="C49" s="12"/>
      <c r="D49" s="54"/>
      <c r="E49" s="54"/>
      <c r="F49" s="54"/>
      <c r="G49" s="54"/>
      <c r="H49" s="54"/>
      <c r="I49" s="21"/>
      <c r="J49" s="54"/>
      <c r="K49" s="54"/>
      <c r="L49" s="54"/>
      <c r="M49" s="54"/>
      <c r="N49" s="54"/>
      <c r="O49" s="12"/>
      <c r="P49" s="17"/>
    </row>
    <row r="50" spans="2:16" x14ac:dyDescent="0.25">
      <c r="B50" s="16"/>
      <c r="C50" s="12"/>
      <c r="D50" s="30" t="s">
        <v>19</v>
      </c>
      <c r="E50" s="30">
        <v>2016</v>
      </c>
      <c r="F50" s="30" t="s">
        <v>17</v>
      </c>
      <c r="G50" s="30" t="s">
        <v>11</v>
      </c>
      <c r="H50" s="30" t="s">
        <v>17</v>
      </c>
      <c r="I50" s="21"/>
      <c r="J50" s="30" t="s">
        <v>19</v>
      </c>
      <c r="K50" s="30">
        <v>2016</v>
      </c>
      <c r="L50" s="30" t="s">
        <v>17</v>
      </c>
      <c r="M50" s="30" t="s">
        <v>11</v>
      </c>
      <c r="N50" s="30" t="s">
        <v>17</v>
      </c>
      <c r="O50" s="12"/>
      <c r="P50" s="17"/>
    </row>
    <row r="51" spans="2:16" x14ac:dyDescent="0.25">
      <c r="B51" s="16"/>
      <c r="C51" s="12"/>
      <c r="D51" s="55" t="s">
        <v>20</v>
      </c>
      <c r="E51" s="57"/>
      <c r="F51" s="49">
        <f>+E51/E57</f>
        <v>0</v>
      </c>
      <c r="G51" s="57"/>
      <c r="H51" s="49">
        <f>+G51/G57</f>
        <v>0</v>
      </c>
      <c r="I51" s="21"/>
      <c r="J51" s="55" t="s">
        <v>20</v>
      </c>
      <c r="K51" s="57"/>
      <c r="L51" s="49">
        <f>+K51/K57</f>
        <v>0</v>
      </c>
      <c r="M51" s="57"/>
      <c r="N51" s="49">
        <f>+M51/M57</f>
        <v>0</v>
      </c>
      <c r="O51" s="12"/>
      <c r="P51" s="17"/>
    </row>
    <row r="52" spans="2:16" x14ac:dyDescent="0.25">
      <c r="B52" s="16"/>
      <c r="C52" s="12"/>
      <c r="D52" s="55" t="s">
        <v>21</v>
      </c>
      <c r="E52" s="57"/>
      <c r="F52" s="49">
        <f>+E52/E57</f>
        <v>0</v>
      </c>
      <c r="G52" s="57"/>
      <c r="H52" s="49">
        <f>+G52/G57</f>
        <v>0</v>
      </c>
      <c r="I52" s="21"/>
      <c r="J52" s="55" t="s">
        <v>21</v>
      </c>
      <c r="K52" s="57"/>
      <c r="L52" s="49">
        <f>+K52/K57</f>
        <v>0</v>
      </c>
      <c r="M52" s="57"/>
      <c r="N52" s="49">
        <f>+M52/M57</f>
        <v>0</v>
      </c>
      <c r="O52" s="12"/>
      <c r="P52" s="17"/>
    </row>
    <row r="53" spans="2:16" x14ac:dyDescent="0.25">
      <c r="B53" s="16"/>
      <c r="C53" s="12"/>
      <c r="D53" s="55" t="s">
        <v>22</v>
      </c>
      <c r="E53" s="57"/>
      <c r="F53" s="49">
        <f>+E53/E57</f>
        <v>0</v>
      </c>
      <c r="G53" s="57"/>
      <c r="H53" s="49">
        <f>+G53/G57</f>
        <v>0</v>
      </c>
      <c r="I53" s="21"/>
      <c r="J53" s="55" t="s">
        <v>22</v>
      </c>
      <c r="K53" s="57"/>
      <c r="L53" s="49">
        <f>+K53/K57</f>
        <v>0</v>
      </c>
      <c r="M53" s="57"/>
      <c r="N53" s="49">
        <f>+M53/M57</f>
        <v>0</v>
      </c>
      <c r="O53" s="12"/>
      <c r="P53" s="17"/>
    </row>
    <row r="54" spans="2:16" x14ac:dyDescent="0.25">
      <c r="B54" s="16"/>
      <c r="C54" s="12"/>
      <c r="D54" s="55" t="s">
        <v>23</v>
      </c>
      <c r="E54" s="57"/>
      <c r="F54" s="49">
        <f>+E54/E57</f>
        <v>0</v>
      </c>
      <c r="G54" s="57"/>
      <c r="H54" s="49">
        <f>+G54/G57</f>
        <v>0</v>
      </c>
      <c r="I54" s="21"/>
      <c r="J54" s="55" t="s">
        <v>23</v>
      </c>
      <c r="K54" s="57"/>
      <c r="L54" s="49">
        <f>+K54/K57</f>
        <v>0</v>
      </c>
      <c r="M54" s="57"/>
      <c r="N54" s="49">
        <f>+M54/M57</f>
        <v>0</v>
      </c>
      <c r="O54" s="12"/>
      <c r="P54" s="17"/>
    </row>
    <row r="55" spans="2:16" x14ac:dyDescent="0.25">
      <c r="B55" s="16"/>
      <c r="C55" s="12"/>
      <c r="D55" s="48" t="s">
        <v>24</v>
      </c>
      <c r="E55" s="57"/>
      <c r="F55" s="49">
        <f>+E55/E57</f>
        <v>0</v>
      </c>
      <c r="G55" s="57"/>
      <c r="H55" s="49">
        <f>+G55/G57</f>
        <v>0</v>
      </c>
      <c r="I55" s="21"/>
      <c r="J55" s="48" t="s">
        <v>24</v>
      </c>
      <c r="K55" s="57"/>
      <c r="L55" s="49">
        <f>+K55/K57</f>
        <v>0</v>
      </c>
      <c r="M55" s="57"/>
      <c r="N55" s="49">
        <f>+M55/M57</f>
        <v>0</v>
      </c>
      <c r="O55" s="12"/>
      <c r="P55" s="17"/>
    </row>
    <row r="56" spans="2:16" x14ac:dyDescent="0.25">
      <c r="B56" s="16"/>
      <c r="C56" s="12"/>
      <c r="D56" s="55" t="s">
        <v>25</v>
      </c>
      <c r="E56" s="57">
        <v>10.497647789999998</v>
      </c>
      <c r="F56" s="49">
        <f>+E56/E57</f>
        <v>1</v>
      </c>
      <c r="G56" s="57">
        <v>2.8795671499999997</v>
      </c>
      <c r="H56" s="49">
        <f>+G56/G57</f>
        <v>1</v>
      </c>
      <c r="I56" s="21"/>
      <c r="J56" s="55" t="s">
        <v>25</v>
      </c>
      <c r="K56" s="57">
        <v>22.574382830000001</v>
      </c>
      <c r="L56" s="49">
        <f>+K56/K57</f>
        <v>1</v>
      </c>
      <c r="M56" s="57">
        <v>4.8831701499999998</v>
      </c>
      <c r="N56" s="49">
        <f>+M56/M57</f>
        <v>1</v>
      </c>
      <c r="O56" s="12"/>
      <c r="P56" s="17"/>
    </row>
    <row r="57" spans="2:16" x14ac:dyDescent="0.25">
      <c r="B57" s="16"/>
      <c r="C57" s="12"/>
      <c r="D57" s="52" t="s">
        <v>1</v>
      </c>
      <c r="E57" s="58">
        <f>SUM(E51:E56)</f>
        <v>10.497647789999998</v>
      </c>
      <c r="F57" s="53">
        <f>SUM(F51:F56)</f>
        <v>1</v>
      </c>
      <c r="G57" s="58">
        <f>SUM(G51:G56)</f>
        <v>2.8795671499999997</v>
      </c>
      <c r="H57" s="53">
        <f>SUM(H51:H56)</f>
        <v>1</v>
      </c>
      <c r="I57" s="21"/>
      <c r="J57" s="52" t="s">
        <v>1</v>
      </c>
      <c r="K57" s="58">
        <f>SUM(K51:K56)</f>
        <v>22.574382830000001</v>
      </c>
      <c r="L57" s="53">
        <f>SUM(L51:L56)</f>
        <v>1</v>
      </c>
      <c r="M57" s="58">
        <f>SUM(M51:M56)</f>
        <v>4.8831701499999998</v>
      </c>
      <c r="N57" s="53">
        <f>SUM(N51:N56)</f>
        <v>1</v>
      </c>
      <c r="O57" s="12"/>
      <c r="P57" s="17"/>
    </row>
    <row r="58" spans="2:16" x14ac:dyDescent="0.25">
      <c r="B58" s="16"/>
      <c r="C58" s="12"/>
      <c r="D58" s="119" t="s">
        <v>27</v>
      </c>
      <c r="E58" s="119"/>
      <c r="F58" s="119"/>
      <c r="G58" s="119"/>
      <c r="H58" s="119"/>
      <c r="I58" s="12"/>
      <c r="J58" s="119" t="s">
        <v>27</v>
      </c>
      <c r="K58" s="119"/>
      <c r="L58" s="119"/>
      <c r="M58" s="119"/>
      <c r="N58" s="119"/>
      <c r="O58" s="12"/>
      <c r="P58" s="17"/>
    </row>
    <row r="59" spans="2:16" x14ac:dyDescent="0.25"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7"/>
    </row>
    <row r="60" spans="2:16" x14ac:dyDescent="0.25"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7"/>
    </row>
    <row r="61" spans="2:16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0"/>
    </row>
  </sheetData>
  <sortState ref="G34:H46">
    <sortCondition descending="1" ref="G34:G46"/>
  </sortState>
  <mergeCells count="16">
    <mergeCell ref="B1:P2"/>
    <mergeCell ref="C11:C12"/>
    <mergeCell ref="D11:F11"/>
    <mergeCell ref="G11:I11"/>
    <mergeCell ref="J11:J12"/>
    <mergeCell ref="K11:K12"/>
    <mergeCell ref="L11:L12"/>
    <mergeCell ref="M11:O11"/>
    <mergeCell ref="C8:O9"/>
    <mergeCell ref="C23:O23"/>
    <mergeCell ref="G42:K42"/>
    <mergeCell ref="C28:O29"/>
    <mergeCell ref="J58:N58"/>
    <mergeCell ref="D58:H58"/>
    <mergeCell ref="D44:H44"/>
    <mergeCell ref="J44:N4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2"/>
  <sheetViews>
    <sheetView workbookViewId="0">
      <selection activeCell="F24" sqref="F24"/>
    </sheetView>
  </sheetViews>
  <sheetFormatPr baseColWidth="10" defaultRowHeight="15" x14ac:dyDescent="0.25"/>
  <sheetData>
    <row r="2" spans="3:9" ht="15" customHeight="1" x14ac:dyDescent="0.25">
      <c r="C2" s="156" t="s">
        <v>56</v>
      </c>
      <c r="D2" s="156"/>
      <c r="E2" s="156"/>
      <c r="F2" s="156"/>
      <c r="G2" s="156"/>
      <c r="H2" s="156"/>
      <c r="I2" s="156"/>
    </row>
    <row r="3" spans="3:9" x14ac:dyDescent="0.25">
      <c r="C3" s="157"/>
      <c r="D3" s="157"/>
      <c r="E3" s="157"/>
      <c r="F3" s="157"/>
      <c r="G3" s="157"/>
      <c r="H3" s="157"/>
      <c r="I3" s="157"/>
    </row>
    <row r="4" spans="3:9" x14ac:dyDescent="0.25">
      <c r="C4" s="137" t="s">
        <v>30</v>
      </c>
      <c r="D4" s="139" t="s">
        <v>31</v>
      </c>
      <c r="E4" s="140"/>
      <c r="F4" s="139" t="s">
        <v>32</v>
      </c>
      <c r="G4" s="140"/>
      <c r="H4" s="139" t="s">
        <v>33</v>
      </c>
      <c r="I4" s="140"/>
    </row>
    <row r="5" spans="3:9" x14ac:dyDescent="0.25">
      <c r="C5" s="138"/>
      <c r="D5" s="30" t="s">
        <v>34</v>
      </c>
      <c r="E5" s="30" t="s">
        <v>35</v>
      </c>
      <c r="F5" s="30" t="s">
        <v>34</v>
      </c>
      <c r="G5" s="30" t="s">
        <v>35</v>
      </c>
      <c r="H5" s="30" t="s">
        <v>34</v>
      </c>
      <c r="I5" s="30" t="s">
        <v>35</v>
      </c>
    </row>
    <row r="6" spans="3:9" x14ac:dyDescent="0.25">
      <c r="C6" s="48" t="s">
        <v>48</v>
      </c>
      <c r="D6" s="51">
        <v>1.2774529999999999</v>
      </c>
      <c r="E6" s="49">
        <v>0.14820506116467691</v>
      </c>
      <c r="F6" s="51">
        <v>53.255887000000001</v>
      </c>
      <c r="G6" s="49">
        <v>0.19240652211839041</v>
      </c>
      <c r="H6" s="51">
        <v>54.533340000000003</v>
      </c>
      <c r="I6" s="49">
        <v>0.19137109518690767</v>
      </c>
    </row>
    <row r="7" spans="3:9" x14ac:dyDescent="0.25">
      <c r="C7" s="48" t="s">
        <v>49</v>
      </c>
      <c r="D7" s="51">
        <v>70.129677000000001</v>
      </c>
      <c r="E7" s="49">
        <v>6.2527466082582986E-2</v>
      </c>
      <c r="F7" s="51">
        <v>62.264657999999997</v>
      </c>
      <c r="G7" s="49">
        <v>0.24797503906630308</v>
      </c>
      <c r="H7" s="51">
        <v>132.39433500000001</v>
      </c>
      <c r="I7" s="49">
        <v>0.14974290251920522</v>
      </c>
    </row>
    <row r="8" spans="3:9" x14ac:dyDescent="0.25">
      <c r="C8" s="48" t="s">
        <v>50</v>
      </c>
      <c r="D8" s="51">
        <v>88.599780999999993</v>
      </c>
      <c r="E8" s="49">
        <v>8.8019687091551613E-2</v>
      </c>
      <c r="F8" s="51">
        <v>106.899209</v>
      </c>
      <c r="G8" s="49">
        <v>0.15497529079003755</v>
      </c>
      <c r="H8" s="51">
        <v>195.49898999999999</v>
      </c>
      <c r="I8" s="49">
        <v>0.12463113492299883</v>
      </c>
    </row>
    <row r="9" spans="3:9" x14ac:dyDescent="0.25">
      <c r="C9" s="48" t="s">
        <v>51</v>
      </c>
      <c r="D9" s="51">
        <v>27.579825</v>
      </c>
      <c r="E9" s="49">
        <v>0.17824696132045798</v>
      </c>
      <c r="F9" s="51">
        <v>82.592349999999996</v>
      </c>
      <c r="G9" s="49">
        <v>0.23406367538882233</v>
      </c>
      <c r="H9" s="51">
        <v>110.172175</v>
      </c>
      <c r="I9" s="49">
        <v>0.22009086232526498</v>
      </c>
    </row>
    <row r="10" spans="3:9" x14ac:dyDescent="0.25">
      <c r="C10" s="59" t="s">
        <v>57</v>
      </c>
      <c r="D10" s="60">
        <v>187.586736</v>
      </c>
      <c r="E10" s="62">
        <v>9.2164837283591303E-2</v>
      </c>
      <c r="F10" s="60">
        <v>305.01210400000002</v>
      </c>
      <c r="G10" s="62">
        <v>0.20191154774631498</v>
      </c>
      <c r="H10" s="61">
        <v>492.59884</v>
      </c>
      <c r="I10" s="62">
        <v>0.16011886467292535</v>
      </c>
    </row>
    <row r="11" spans="3:9" x14ac:dyDescent="0.25">
      <c r="C11" s="131" t="s">
        <v>53</v>
      </c>
      <c r="D11" s="131"/>
      <c r="E11" s="131"/>
      <c r="F11" s="131"/>
      <c r="G11" s="131"/>
      <c r="H11" s="131"/>
      <c r="I11" s="131"/>
    </row>
    <row r="12" spans="3:9" x14ac:dyDescent="0.25">
      <c r="C12" s="119" t="s">
        <v>36</v>
      </c>
      <c r="D12" s="119"/>
      <c r="E12" s="119"/>
      <c r="F12" s="119"/>
      <c r="G12" s="119"/>
      <c r="H12" s="119"/>
      <c r="I12" s="119"/>
    </row>
  </sheetData>
  <mergeCells count="7">
    <mergeCell ref="C12:I12"/>
    <mergeCell ref="C2:I3"/>
    <mergeCell ref="C4:C5"/>
    <mergeCell ref="D4:E4"/>
    <mergeCell ref="F4:G4"/>
    <mergeCell ref="H4:I4"/>
    <mergeCell ref="C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Carátula</vt:lpstr>
      <vt:lpstr>Índice</vt:lpstr>
      <vt:lpstr>Oriente</vt:lpstr>
      <vt:lpstr>Amazonas</vt:lpstr>
      <vt:lpstr>Loreto</vt:lpstr>
      <vt:lpstr>San Martín</vt:lpstr>
      <vt:lpstr>Ucayali</vt:lpstr>
      <vt:lpstr>Cuadro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2017-05-22T14:28:04Z</dcterms:modified>
</cp:coreProperties>
</file>